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filterPrivacy="1" defaultThemeVersion="124226"/>
  <xr:revisionPtr revIDLastSave="0" documentId="13_ncr:1_{72B103D7-028A-41B5-BACD-B36983335772}" xr6:coauthVersionLast="47" xr6:coauthVersionMax="47" xr10:uidLastSave="{00000000-0000-0000-0000-000000000000}"/>
  <bookViews>
    <workbookView xWindow="-120" yWindow="-120" windowWidth="29040" windowHeight="15840" tabRatio="891" activeTab="7" xr2:uid="{00000000-000D-0000-FFFF-FFFF00000000}"/>
  </bookViews>
  <sheets>
    <sheet name="затраты" sheetId="37" r:id="rId1"/>
    <sheet name="натур показатели инновации+добр" sheetId="38" r:id="rId2"/>
    <sheet name="инновации+добровольчество0,3664" sheetId="31" r:id="rId3"/>
    <sheet name="Лист1" sheetId="41" r:id="rId4"/>
    <sheet name="натур показатели патриотика" sheetId="39" r:id="rId5"/>
    <sheet name="патриотика0,3664" sheetId="14" r:id="rId6"/>
    <sheet name="натур показатели таланты+инициа" sheetId="40" r:id="rId7"/>
    <sheet name="таланты+инициативы0,2672" sheetId="15" r:id="rId8"/>
    <sheet name="Лист3" sheetId="36" state="hidden" r:id="rId9"/>
  </sheets>
  <externalReferences>
    <externalReference r:id="rId10"/>
    <externalReference r:id="rId11"/>
  </externalReferences>
  <definedNames>
    <definedName name="_xlnm._FilterDatabase" localSheetId="2" hidden="1">'инновации+добровольчество0,3664'!$A$266:$I$459</definedName>
    <definedName name="_xlnm._FilterDatabase" localSheetId="7" hidden="1">'таланты+инициативы0,2672'!$A$218:$I$382</definedName>
    <definedName name="_xlnm.Print_Area" localSheetId="0">затраты!$A$1:$K$24</definedName>
    <definedName name="_xlnm.Print_Area" localSheetId="2">'инновации+добровольчество0,3664'!$A$1:$I$521</definedName>
    <definedName name="_xlnm.Print_Area" localSheetId="5">'патриотика0,3664'!$A$1:$I$534</definedName>
    <definedName name="_xlnm.Print_Area" localSheetId="7">'таланты+инициативы0,2672'!$A$1:$I$467</definedName>
  </definedNames>
  <calcPr calcId="18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7" i="40" l="1"/>
  <c r="E18" i="40"/>
  <c r="E19" i="40"/>
  <c r="E20" i="40"/>
  <c r="E21" i="40"/>
  <c r="E22" i="40"/>
  <c r="E23" i="40"/>
  <c r="E24" i="40"/>
  <c r="E25" i="40"/>
  <c r="E26" i="40"/>
  <c r="E27" i="40"/>
  <c r="E28" i="40"/>
  <c r="E29" i="40"/>
  <c r="E30" i="40"/>
  <c r="E31" i="40"/>
  <c r="E32" i="40"/>
  <c r="E33" i="40"/>
  <c r="E34" i="40"/>
  <c r="E35" i="40"/>
  <c r="E36" i="40"/>
  <c r="E37" i="40"/>
  <c r="E38" i="40"/>
  <c r="E39" i="40"/>
  <c r="E40" i="40"/>
  <c r="E41" i="40"/>
  <c r="E42" i="40"/>
  <c r="E43" i="40"/>
  <c r="E44" i="40"/>
  <c r="E45" i="40"/>
  <c r="E46" i="40"/>
  <c r="E47" i="40"/>
  <c r="E48" i="40"/>
  <c r="E49" i="40"/>
  <c r="E50" i="40"/>
  <c r="E51" i="40"/>
  <c r="E52" i="40"/>
  <c r="E53" i="40"/>
  <c r="E54" i="40"/>
  <c r="E55" i="40"/>
  <c r="E56" i="40"/>
  <c r="E57" i="40"/>
  <c r="E58" i="40"/>
  <c r="E59" i="40"/>
  <c r="E60" i="40"/>
  <c r="E61" i="40"/>
  <c r="E62" i="40"/>
  <c r="E16" i="40"/>
  <c r="C53" i="40"/>
  <c r="C54" i="40"/>
  <c r="C55" i="40"/>
  <c r="C56" i="40"/>
  <c r="C57" i="40"/>
  <c r="C58" i="40"/>
  <c r="C59" i="40"/>
  <c r="C60" i="40"/>
  <c r="C61" i="40"/>
  <c r="C62" i="40"/>
  <c r="C47" i="40"/>
  <c r="C48" i="40"/>
  <c r="C49" i="40"/>
  <c r="C50" i="40"/>
  <c r="C51" i="40"/>
  <c r="C52" i="40"/>
  <c r="C29" i="40"/>
  <c r="C30" i="40"/>
  <c r="C31" i="40"/>
  <c r="C32" i="40"/>
  <c r="C33" i="40"/>
  <c r="C34" i="40"/>
  <c r="C35" i="40"/>
  <c r="C36" i="40"/>
  <c r="C37" i="40"/>
  <c r="C38" i="40"/>
  <c r="C39" i="40"/>
  <c r="C40" i="40"/>
  <c r="C41" i="40"/>
  <c r="C42" i="40"/>
  <c r="C43" i="40"/>
  <c r="C44" i="40"/>
  <c r="C45" i="40"/>
  <c r="C46" i="40"/>
  <c r="C17" i="40"/>
  <c r="C18" i="40"/>
  <c r="C19" i="40"/>
  <c r="C20" i="40"/>
  <c r="C21" i="40"/>
  <c r="C22" i="40"/>
  <c r="C23" i="40"/>
  <c r="C24" i="40"/>
  <c r="C25" i="40"/>
  <c r="C26" i="40"/>
  <c r="C27" i="40"/>
  <c r="C28" i="40"/>
  <c r="C16" i="40"/>
  <c r="A2" i="31"/>
  <c r="E17" i="39"/>
  <c r="E18" i="39"/>
  <c r="E19" i="39"/>
  <c r="E20" i="39"/>
  <c r="E21" i="39"/>
  <c r="E22" i="39"/>
  <c r="E23" i="39"/>
  <c r="E24" i="39"/>
  <c r="E25" i="39"/>
  <c r="E26" i="39"/>
  <c r="E27" i="39"/>
  <c r="E28" i="39"/>
  <c r="E29" i="39"/>
  <c r="E30" i="39"/>
  <c r="E31" i="39"/>
  <c r="E32" i="39"/>
  <c r="E33" i="39"/>
  <c r="E34" i="39"/>
  <c r="E35" i="39"/>
  <c r="E36" i="39"/>
  <c r="E37" i="39"/>
  <c r="E38" i="39"/>
  <c r="E39" i="39"/>
  <c r="E40" i="39"/>
  <c r="E41" i="39"/>
  <c r="E42" i="39"/>
  <c r="E43" i="39"/>
  <c r="E44" i="39"/>
  <c r="E45" i="39"/>
  <c r="E46" i="39"/>
  <c r="E47" i="39"/>
  <c r="E48" i="39"/>
  <c r="E49" i="39"/>
  <c r="E50" i="39"/>
  <c r="E51" i="39"/>
  <c r="E52" i="39"/>
  <c r="E53" i="39"/>
  <c r="E54" i="39"/>
  <c r="E55" i="39"/>
  <c r="E56" i="39"/>
  <c r="E57" i="39"/>
  <c r="E58" i="39"/>
  <c r="E59" i="39"/>
  <c r="E60" i="39"/>
  <c r="E61" i="39"/>
  <c r="E62" i="39"/>
  <c r="E63" i="39"/>
  <c r="E64" i="39"/>
  <c r="E65" i="39"/>
  <c r="E66" i="39"/>
  <c r="E67" i="39"/>
  <c r="E68" i="39"/>
  <c r="E69" i="39"/>
  <c r="E70" i="39"/>
  <c r="E71" i="39"/>
  <c r="E72" i="39"/>
  <c r="E73" i="39"/>
  <c r="E74" i="39"/>
  <c r="E75" i="39"/>
  <c r="E76" i="39"/>
  <c r="E77" i="39"/>
  <c r="E78" i="39"/>
  <c r="E79" i="39"/>
  <c r="E80" i="39"/>
  <c r="E81" i="39"/>
  <c r="E82" i="39"/>
  <c r="E83" i="39"/>
  <c r="E84" i="39"/>
  <c r="E85" i="39"/>
  <c r="E86" i="39"/>
  <c r="E87" i="39"/>
  <c r="E88" i="39"/>
  <c r="E89" i="39"/>
  <c r="E90" i="39"/>
  <c r="E91" i="39"/>
  <c r="E92" i="39"/>
  <c r="E93" i="39"/>
  <c r="E94" i="39"/>
  <c r="E95" i="39"/>
  <c r="E96" i="39"/>
  <c r="E97" i="39"/>
  <c r="E98" i="39"/>
  <c r="E99" i="39"/>
  <c r="E100" i="39"/>
  <c r="E101" i="39"/>
  <c r="E102" i="39"/>
  <c r="E103" i="39"/>
  <c r="E104" i="39"/>
  <c r="E105" i="39"/>
  <c r="E106" i="39"/>
  <c r="E107" i="39"/>
  <c r="E108" i="39"/>
  <c r="E109" i="39"/>
  <c r="E110" i="39"/>
  <c r="E16" i="39"/>
  <c r="C17" i="39"/>
  <c r="C18" i="39"/>
  <c r="C19" i="39"/>
  <c r="C20" i="39"/>
  <c r="C21" i="39"/>
  <c r="C22" i="39"/>
  <c r="C23" i="39"/>
  <c r="C24" i="39"/>
  <c r="C25" i="39"/>
  <c r="C26" i="39"/>
  <c r="C27" i="39"/>
  <c r="C28" i="39"/>
  <c r="C29" i="39"/>
  <c r="C30" i="39"/>
  <c r="C31" i="39"/>
  <c r="C32" i="39"/>
  <c r="C33" i="39"/>
  <c r="C34" i="39"/>
  <c r="C35" i="39"/>
  <c r="C36" i="39"/>
  <c r="C37" i="39"/>
  <c r="C38" i="39"/>
  <c r="C39" i="39"/>
  <c r="C40" i="39"/>
  <c r="C41" i="39"/>
  <c r="C42" i="39"/>
  <c r="C43" i="39"/>
  <c r="C44" i="39"/>
  <c r="C45" i="39"/>
  <c r="C46" i="39"/>
  <c r="C47" i="39"/>
  <c r="C48" i="39"/>
  <c r="C49" i="39"/>
  <c r="C50" i="39"/>
  <c r="C51" i="39"/>
  <c r="C52" i="39"/>
  <c r="C53" i="39"/>
  <c r="C54" i="39"/>
  <c r="C55" i="39"/>
  <c r="C56" i="39"/>
  <c r="C57" i="39"/>
  <c r="C58" i="39"/>
  <c r="C59" i="39"/>
  <c r="C60" i="39"/>
  <c r="C61" i="39"/>
  <c r="C62" i="39"/>
  <c r="C63" i="39"/>
  <c r="C64" i="39"/>
  <c r="C65" i="39"/>
  <c r="C66" i="39"/>
  <c r="C67" i="39"/>
  <c r="C68" i="39"/>
  <c r="C69" i="39"/>
  <c r="C70" i="39"/>
  <c r="C71" i="39"/>
  <c r="C72" i="39"/>
  <c r="C73" i="39"/>
  <c r="C74" i="39"/>
  <c r="C75" i="39"/>
  <c r="C76" i="39"/>
  <c r="C77" i="39"/>
  <c r="C78" i="39"/>
  <c r="C79" i="39"/>
  <c r="C80" i="39"/>
  <c r="C81" i="39"/>
  <c r="C82" i="39"/>
  <c r="C83" i="39"/>
  <c r="C84" i="39"/>
  <c r="C85" i="39"/>
  <c r="C86" i="39"/>
  <c r="C87" i="39"/>
  <c r="C88" i="39"/>
  <c r="C89" i="39"/>
  <c r="C90" i="39"/>
  <c r="C91" i="39"/>
  <c r="C92" i="39"/>
  <c r="C93" i="39"/>
  <c r="C94" i="39"/>
  <c r="C95" i="39"/>
  <c r="C96" i="39"/>
  <c r="C97" i="39"/>
  <c r="C98" i="39"/>
  <c r="C99" i="39"/>
  <c r="C100" i="39"/>
  <c r="C101" i="39"/>
  <c r="C102" i="39"/>
  <c r="C103" i="39"/>
  <c r="C104" i="39"/>
  <c r="C105" i="39"/>
  <c r="C106" i="39"/>
  <c r="C107" i="39"/>
  <c r="C108" i="39"/>
  <c r="C109" i="39"/>
  <c r="C110" i="39"/>
  <c r="C16" i="39"/>
  <c r="G58" i="14"/>
  <c r="G59" i="14"/>
  <c r="G60" i="14"/>
  <c r="G61" i="14"/>
  <c r="G62" i="14"/>
  <c r="G63" i="14"/>
  <c r="G64" i="14"/>
  <c r="G65" i="14"/>
  <c r="G66" i="14"/>
  <c r="G67" i="14"/>
  <c r="G68" i="14"/>
  <c r="G69" i="14"/>
  <c r="G70" i="14"/>
  <c r="G71" i="14"/>
  <c r="G72" i="14"/>
  <c r="G73" i="14"/>
  <c r="G74" i="14"/>
  <c r="G75" i="14"/>
  <c r="G76" i="14"/>
  <c r="G77" i="14"/>
  <c r="G78" i="14"/>
  <c r="G79" i="14"/>
  <c r="G80" i="14"/>
  <c r="G81" i="14"/>
  <c r="G82" i="14"/>
  <c r="G83" i="14"/>
  <c r="G84" i="14"/>
  <c r="G85" i="14"/>
  <c r="G86" i="14"/>
  <c r="G87" i="14"/>
  <c r="G88" i="14"/>
  <c r="G89" i="14"/>
  <c r="G90" i="14"/>
  <c r="G91" i="14"/>
  <c r="G92" i="14"/>
  <c r="G93" i="14"/>
  <c r="G94" i="14"/>
  <c r="G95" i="14"/>
  <c r="G96" i="14"/>
  <c r="G97" i="14"/>
  <c r="G98" i="14"/>
  <c r="G99" i="14"/>
  <c r="G100" i="14"/>
  <c r="G101" i="14"/>
  <c r="G102" i="14"/>
  <c r="G103" i="14"/>
  <c r="G104" i="14"/>
  <c r="G105" i="14"/>
  <c r="G106" i="14"/>
  <c r="G107" i="14"/>
  <c r="G108" i="14"/>
  <c r="G109" i="14"/>
  <c r="G110" i="14"/>
  <c r="G111" i="14"/>
  <c r="G112" i="14"/>
  <c r="G113" i="14"/>
  <c r="G114" i="14"/>
  <c r="G115" i="14"/>
  <c r="G116" i="14"/>
  <c r="G117" i="14"/>
  <c r="G118" i="14"/>
  <c r="G119" i="14"/>
  <c r="G120" i="14"/>
  <c r="G121" i="14"/>
  <c r="G122" i="14"/>
  <c r="G123" i="14"/>
  <c r="G124" i="14"/>
  <c r="G125" i="14"/>
  <c r="G126" i="14"/>
  <c r="G127" i="14"/>
  <c r="G128" i="14"/>
  <c r="G129" i="14"/>
  <c r="G130" i="14"/>
  <c r="G131" i="14"/>
  <c r="G132" i="14"/>
  <c r="G133" i="14"/>
  <c r="G134" i="14"/>
  <c r="G135" i="14"/>
  <c r="G136" i="14"/>
  <c r="G137" i="14"/>
  <c r="G138" i="14"/>
  <c r="G139" i="14"/>
  <c r="G140" i="14"/>
  <c r="G141" i="14"/>
  <c r="G142" i="14"/>
  <c r="G143" i="14"/>
  <c r="G144" i="14"/>
  <c r="G145" i="14"/>
  <c r="G146" i="14"/>
  <c r="G147" i="14"/>
  <c r="G148" i="14"/>
  <c r="G149" i="14"/>
  <c r="G150" i="14"/>
  <c r="G57" i="14"/>
  <c r="E17" i="38"/>
  <c r="E18" i="38"/>
  <c r="E19" i="38"/>
  <c r="E20" i="38"/>
  <c r="E21" i="38"/>
  <c r="E22" i="38"/>
  <c r="E23" i="38"/>
  <c r="E24" i="38"/>
  <c r="E25" i="38"/>
  <c r="E26" i="38"/>
  <c r="E27" i="38"/>
  <c r="E28" i="38"/>
  <c r="E29" i="38"/>
  <c r="E30" i="38"/>
  <c r="E31" i="38"/>
  <c r="E32" i="38"/>
  <c r="E33" i="38"/>
  <c r="E34" i="38"/>
  <c r="E35" i="38"/>
  <c r="E36" i="38"/>
  <c r="E37" i="38"/>
  <c r="E38" i="38"/>
  <c r="E39" i="38"/>
  <c r="E40" i="38"/>
  <c r="E41" i="38"/>
  <c r="E42" i="38"/>
  <c r="E43" i="38"/>
  <c r="E44" i="38"/>
  <c r="E45" i="38"/>
  <c r="E46" i="38"/>
  <c r="E47" i="38"/>
  <c r="E48" i="38"/>
  <c r="E49" i="38"/>
  <c r="E50" i="38"/>
  <c r="E51" i="38"/>
  <c r="E52" i="38"/>
  <c r="E53" i="38"/>
  <c r="E54" i="38"/>
  <c r="E55" i="38"/>
  <c r="E56" i="38"/>
  <c r="E57" i="38"/>
  <c r="E58" i="38"/>
  <c r="E59" i="38"/>
  <c r="E60" i="38"/>
  <c r="E61" i="38"/>
  <c r="E62" i="38"/>
  <c r="E63" i="38"/>
  <c r="E64" i="38"/>
  <c r="E65" i="38"/>
  <c r="E66" i="38"/>
  <c r="E67" i="38"/>
  <c r="E68" i="38"/>
  <c r="E69" i="38"/>
  <c r="E70" i="38"/>
  <c r="E71" i="38"/>
  <c r="E72" i="38"/>
  <c r="E73" i="38"/>
  <c r="E74" i="38"/>
  <c r="E75" i="38"/>
  <c r="E76" i="38"/>
  <c r="E77" i="38"/>
  <c r="E78" i="38"/>
  <c r="E79" i="38"/>
  <c r="E80" i="38"/>
  <c r="E81" i="38"/>
  <c r="E82" i="38"/>
  <c r="E83" i="38"/>
  <c r="E84" i="38"/>
  <c r="E85" i="38"/>
  <c r="E86" i="38"/>
  <c r="E87" i="38"/>
  <c r="E88" i="38"/>
  <c r="E89" i="38"/>
  <c r="E90" i="38"/>
  <c r="E91" i="38"/>
  <c r="E92" i="38"/>
  <c r="E93" i="38"/>
  <c r="E94" i="38"/>
  <c r="E95" i="38"/>
  <c r="E16" i="38"/>
  <c r="D16" i="38"/>
  <c r="D17" i="38"/>
  <c r="D18" i="38"/>
  <c r="D19" i="38"/>
  <c r="D20" i="38"/>
  <c r="D21" i="38"/>
  <c r="D22" i="38"/>
  <c r="D23" i="38"/>
  <c r="D24" i="38"/>
  <c r="D25" i="38"/>
  <c r="D26" i="38"/>
  <c r="D27" i="38"/>
  <c r="D28" i="38"/>
  <c r="D29" i="38"/>
  <c r="D30" i="38"/>
  <c r="D31" i="38"/>
  <c r="D32" i="38"/>
  <c r="D33" i="38"/>
  <c r="D34" i="38"/>
  <c r="D35" i="38"/>
  <c r="D36" i="38"/>
  <c r="D37" i="38"/>
  <c r="D38" i="38"/>
  <c r="D39" i="38"/>
  <c r="D40" i="38"/>
  <c r="D41" i="38"/>
  <c r="D42" i="38"/>
  <c r="D43" i="38"/>
  <c r="D44" i="38"/>
  <c r="D45" i="38"/>
  <c r="D46" i="38"/>
  <c r="D47" i="38"/>
  <c r="D48" i="38"/>
  <c r="D49" i="38"/>
  <c r="D50" i="38"/>
  <c r="D51" i="38"/>
  <c r="D52" i="38"/>
  <c r="D53" i="38"/>
  <c r="D54" i="38"/>
  <c r="D55" i="38"/>
  <c r="D56" i="38"/>
  <c r="D57" i="38"/>
  <c r="D58" i="38"/>
  <c r="D59" i="38"/>
  <c r="C76" i="38"/>
  <c r="C77" i="38"/>
  <c r="C78" i="38"/>
  <c r="C79" i="38"/>
  <c r="C80" i="38"/>
  <c r="C81" i="38"/>
  <c r="C82" i="38"/>
  <c r="C83" i="38"/>
  <c r="C84" i="38"/>
  <c r="C85" i="38"/>
  <c r="C86" i="38"/>
  <c r="C87" i="38"/>
  <c r="C88" i="38"/>
  <c r="C89" i="38"/>
  <c r="C90" i="38"/>
  <c r="C91" i="38"/>
  <c r="C92" i="38"/>
  <c r="C93" i="38"/>
  <c r="C94" i="38"/>
  <c r="C95" i="38"/>
  <c r="C17" i="38"/>
  <c r="C18" i="38"/>
  <c r="C19" i="38"/>
  <c r="C20" i="38"/>
  <c r="C21" i="38"/>
  <c r="C22" i="38"/>
  <c r="C23" i="38"/>
  <c r="C24" i="38"/>
  <c r="C25" i="38"/>
  <c r="C26" i="38"/>
  <c r="C27" i="38"/>
  <c r="C28" i="38"/>
  <c r="C29" i="38"/>
  <c r="C30" i="38"/>
  <c r="C31" i="38"/>
  <c r="C32" i="38"/>
  <c r="C33" i="38"/>
  <c r="C34" i="38"/>
  <c r="C35" i="38"/>
  <c r="C36" i="38"/>
  <c r="C37" i="38"/>
  <c r="C38" i="38"/>
  <c r="C39" i="38"/>
  <c r="C40" i="38"/>
  <c r="C41" i="38"/>
  <c r="C42" i="38"/>
  <c r="C43" i="38"/>
  <c r="C44" i="38"/>
  <c r="C45" i="38"/>
  <c r="C46" i="38"/>
  <c r="C47" i="38"/>
  <c r="C48" i="38"/>
  <c r="C49" i="38"/>
  <c r="C50" i="38"/>
  <c r="C51" i="38"/>
  <c r="C52" i="38"/>
  <c r="C53" i="38"/>
  <c r="C54" i="38"/>
  <c r="C55" i="38"/>
  <c r="C56" i="38"/>
  <c r="C57" i="38"/>
  <c r="C58" i="38"/>
  <c r="C59" i="38"/>
  <c r="C60" i="38"/>
  <c r="C61" i="38"/>
  <c r="C62" i="38"/>
  <c r="C63" i="38"/>
  <c r="C64" i="38"/>
  <c r="C65" i="38"/>
  <c r="C66" i="38"/>
  <c r="C67" i="38"/>
  <c r="C68" i="38"/>
  <c r="C69" i="38"/>
  <c r="C70" i="38"/>
  <c r="C71" i="38"/>
  <c r="C72" i="38"/>
  <c r="C73" i="38"/>
  <c r="C74" i="38"/>
  <c r="C75" i="38"/>
  <c r="C16" i="38"/>
  <c r="G64" i="31"/>
  <c r="G65" i="31"/>
  <c r="G66" i="31"/>
  <c r="G67" i="31"/>
  <c r="G68" i="31"/>
  <c r="G69" i="31"/>
  <c r="G70" i="31"/>
  <c r="G71" i="31"/>
  <c r="G72" i="31"/>
  <c r="G73" i="31"/>
  <c r="G74" i="31"/>
  <c r="G75" i="31"/>
  <c r="G76" i="31"/>
  <c r="G77" i="31"/>
  <c r="G78" i="31"/>
  <c r="G79" i="31"/>
  <c r="G80" i="31"/>
  <c r="G81" i="31"/>
  <c r="G82" i="31"/>
  <c r="G83" i="31"/>
  <c r="G84" i="31"/>
  <c r="G85" i="31"/>
  <c r="G86" i="31"/>
  <c r="G87" i="31"/>
  <c r="G88" i="31"/>
  <c r="G89" i="31"/>
  <c r="G90" i="31"/>
  <c r="G91" i="31"/>
  <c r="G92" i="31"/>
  <c r="G93" i="31"/>
  <c r="G94" i="31"/>
  <c r="G95" i="31"/>
  <c r="G96" i="31"/>
  <c r="G97" i="31"/>
  <c r="G98" i="31"/>
  <c r="G99" i="31"/>
  <c r="G100" i="31"/>
  <c r="G101" i="31"/>
  <c r="G102" i="31"/>
  <c r="G103" i="31"/>
  <c r="G104" i="31"/>
  <c r="G105" i="31"/>
  <c r="G106" i="31"/>
  <c r="G107" i="31"/>
  <c r="G108" i="31"/>
  <c r="G109" i="31"/>
  <c r="G110" i="31"/>
  <c r="G111" i="31"/>
  <c r="G112" i="31"/>
  <c r="G113" i="31"/>
  <c r="G114" i="31"/>
  <c r="G115" i="31"/>
  <c r="G116" i="31"/>
  <c r="G117" i="31"/>
  <c r="G118" i="31"/>
  <c r="G119" i="31"/>
  <c r="G120" i="31"/>
  <c r="G121" i="31"/>
  <c r="G122" i="31"/>
  <c r="G123" i="31"/>
  <c r="G124" i="31"/>
  <c r="G125" i="31"/>
  <c r="G126" i="31"/>
  <c r="G127" i="31"/>
  <c r="G128" i="31"/>
  <c r="G129" i="31"/>
  <c r="G130" i="31"/>
  <c r="G131" i="31"/>
  <c r="G132" i="31"/>
  <c r="G133" i="31"/>
  <c r="G134" i="31"/>
  <c r="G135" i="31"/>
  <c r="G136" i="31"/>
  <c r="G137" i="31"/>
  <c r="G138" i="31"/>
  <c r="G139" i="31"/>
  <c r="G140" i="31"/>
  <c r="G141" i="31"/>
  <c r="G142" i="31"/>
  <c r="G143" i="31"/>
  <c r="E23" i="37"/>
  <c r="G166" i="15"/>
  <c r="E165" i="15"/>
  <c r="E164" i="15"/>
  <c r="G165" i="15"/>
  <c r="E166" i="15"/>
  <c r="C125" i="38" l="1"/>
  <c r="C126" i="38"/>
  <c r="E257" i="14"/>
  <c r="E258" i="14"/>
  <c r="E259" i="14"/>
  <c r="E260" i="14"/>
  <c r="E261" i="14"/>
  <c r="E262" i="14"/>
  <c r="E263" i="14"/>
  <c r="E264" i="14"/>
  <c r="E265" i="14"/>
  <c r="E266" i="14"/>
  <c r="E267" i="14"/>
  <c r="E268" i="14"/>
  <c r="E269" i="14"/>
  <c r="E251" i="31" s="1"/>
  <c r="E270" i="14"/>
  <c r="E271" i="14"/>
  <c r="E272" i="14"/>
  <c r="E274" i="14"/>
  <c r="E256" i="14"/>
  <c r="A269" i="14"/>
  <c r="A251" i="31" s="1"/>
  <c r="C124" i="38" s="1"/>
  <c r="A266" i="14"/>
  <c r="A267" i="14"/>
  <c r="A268" i="14"/>
  <c r="A257" i="14"/>
  <c r="A258" i="14"/>
  <c r="A259" i="14"/>
  <c r="A260" i="14"/>
  <c r="A261" i="14"/>
  <c r="A262" i="14"/>
  <c r="A263" i="14"/>
  <c r="A264" i="14"/>
  <c r="A265" i="14"/>
  <c r="A256" i="14"/>
  <c r="F200" i="15"/>
  <c r="F201" i="15"/>
  <c r="F202" i="15"/>
  <c r="F203" i="15"/>
  <c r="F204" i="15"/>
  <c r="D213" i="15"/>
  <c r="D212" i="15"/>
  <c r="D211" i="15"/>
  <c r="D210" i="15"/>
  <c r="D209" i="15"/>
  <c r="D208" i="15"/>
  <c r="D207" i="15"/>
  <c r="D206" i="15"/>
  <c r="D205" i="15"/>
  <c r="D204" i="15"/>
  <c r="D203" i="15"/>
  <c r="D202" i="15"/>
  <c r="D201" i="15"/>
  <c r="D200" i="15"/>
  <c r="G63" i="31"/>
  <c r="G151" i="31" s="1"/>
  <c r="B13" i="15"/>
  <c r="B33" i="15"/>
  <c r="B34" i="15"/>
  <c r="B40" i="15"/>
  <c r="B41" i="15"/>
  <c r="B43" i="15"/>
  <c r="B146" i="15"/>
  <c r="B147" i="15"/>
  <c r="B148" i="15"/>
  <c r="B149" i="15"/>
  <c r="B150" i="15"/>
  <c r="B151" i="15"/>
  <c r="F62" i="15"/>
  <c r="F60" i="15"/>
  <c r="F61" i="15"/>
  <c r="F63" i="15"/>
  <c r="F64" i="15"/>
  <c r="F65" i="15"/>
  <c r="F66" i="15"/>
  <c r="F67" i="15"/>
  <c r="F68" i="15"/>
  <c r="F69" i="15"/>
  <c r="F70" i="15"/>
  <c r="F71" i="15"/>
  <c r="F72" i="15"/>
  <c r="F73" i="15"/>
  <c r="F74" i="15"/>
  <c r="F75" i="15"/>
  <c r="F76" i="15"/>
  <c r="F77" i="15"/>
  <c r="F78" i="15"/>
  <c r="F79" i="15"/>
  <c r="F80" i="15"/>
  <c r="F81" i="15"/>
  <c r="F82" i="15"/>
  <c r="F83" i="15"/>
  <c r="F84" i="15"/>
  <c r="F85" i="15"/>
  <c r="F86" i="15"/>
  <c r="F87" i="15"/>
  <c r="F88" i="15"/>
  <c r="F89" i="15"/>
  <c r="F90" i="15"/>
  <c r="F91" i="15"/>
  <c r="F92" i="15"/>
  <c r="F93" i="15"/>
  <c r="F94" i="15"/>
  <c r="F95" i="15"/>
  <c r="F96" i="15"/>
  <c r="F97" i="15"/>
  <c r="F98" i="15"/>
  <c r="F99" i="15"/>
  <c r="F100" i="15"/>
  <c r="F101" i="15"/>
  <c r="F102" i="15"/>
  <c r="F103" i="15"/>
  <c r="F104" i="15"/>
  <c r="F59" i="15"/>
  <c r="F105" i="15" s="1"/>
  <c r="D178" i="14" l="1"/>
  <c r="D173" i="31" s="1"/>
  <c r="D179" i="14"/>
  <c r="D174" i="31" s="1"/>
  <c r="D177" i="14"/>
  <c r="D172" i="31" s="1"/>
  <c r="E288" i="14"/>
  <c r="E270" i="31" s="1"/>
  <c r="E289" i="14"/>
  <c r="E271" i="31" s="1"/>
  <c r="E290" i="14"/>
  <c r="E272" i="31" s="1"/>
  <c r="E291" i="14"/>
  <c r="E273" i="31" s="1"/>
  <c r="E292" i="14"/>
  <c r="E274" i="31" s="1"/>
  <c r="E293" i="14"/>
  <c r="E275" i="31" s="1"/>
  <c r="E294" i="14"/>
  <c r="E276" i="31" s="1"/>
  <c r="E295" i="14"/>
  <c r="E277" i="31" s="1"/>
  <c r="E296" i="14"/>
  <c r="E278" i="31" s="1"/>
  <c r="E297" i="14"/>
  <c r="E279" i="31" s="1"/>
  <c r="E298" i="14"/>
  <c r="E280" i="31" s="1"/>
  <c r="E299" i="14"/>
  <c r="E281" i="31" s="1"/>
  <c r="E300" i="14"/>
  <c r="E282" i="31" s="1"/>
  <c r="E301" i="14"/>
  <c r="E283" i="31" s="1"/>
  <c r="E302" i="14"/>
  <c r="E284" i="31" s="1"/>
  <c r="E303" i="14"/>
  <c r="E285" i="31" s="1"/>
  <c r="E304" i="14"/>
  <c r="E286" i="31" s="1"/>
  <c r="E305" i="14"/>
  <c r="E287" i="31" s="1"/>
  <c r="E306" i="14"/>
  <c r="E288" i="31" s="1"/>
  <c r="E307" i="14"/>
  <c r="E289" i="31" s="1"/>
  <c r="E308" i="14"/>
  <c r="E290" i="31" s="1"/>
  <c r="E309" i="14"/>
  <c r="E291" i="31" s="1"/>
  <c r="E310" i="14"/>
  <c r="E292" i="31" s="1"/>
  <c r="E311" i="14"/>
  <c r="E293" i="31" s="1"/>
  <c r="E312" i="14"/>
  <c r="E294" i="31" s="1"/>
  <c r="E313" i="14"/>
  <c r="E295" i="31" s="1"/>
  <c r="E314" i="14"/>
  <c r="E296" i="31" s="1"/>
  <c r="E315" i="14"/>
  <c r="E297" i="31" s="1"/>
  <c r="E316" i="14"/>
  <c r="E298" i="31" s="1"/>
  <c r="E317" i="14"/>
  <c r="E299" i="31" s="1"/>
  <c r="E318" i="14"/>
  <c r="E300" i="31" s="1"/>
  <c r="E319" i="14"/>
  <c r="E301" i="31" s="1"/>
  <c r="E320" i="14"/>
  <c r="E302" i="31" s="1"/>
  <c r="E321" i="14"/>
  <c r="E303" i="31" s="1"/>
  <c r="E322" i="14"/>
  <c r="E304" i="31" s="1"/>
  <c r="A295" i="14"/>
  <c r="A296" i="14"/>
  <c r="A297" i="14"/>
  <c r="A298" i="14"/>
  <c r="A299" i="14"/>
  <c r="A300" i="14"/>
  <c r="A301" i="14"/>
  <c r="A302" i="14"/>
  <c r="A303" i="14"/>
  <c r="A304" i="14"/>
  <c r="A305" i="14"/>
  <c r="A306" i="14"/>
  <c r="A307" i="14"/>
  <c r="A308" i="14"/>
  <c r="A309" i="14"/>
  <c r="A310" i="14"/>
  <c r="A311" i="14"/>
  <c r="A312" i="14"/>
  <c r="A313" i="14"/>
  <c r="A314" i="14"/>
  <c r="A315" i="14"/>
  <c r="A316" i="14"/>
  <c r="A317" i="14"/>
  <c r="A318" i="14"/>
  <c r="A319" i="14"/>
  <c r="A320" i="14"/>
  <c r="A321" i="14"/>
  <c r="A322" i="14"/>
  <c r="A323" i="14"/>
  <c r="A324" i="14"/>
  <c r="A325" i="14"/>
  <c r="A326" i="14"/>
  <c r="A327" i="14"/>
  <c r="A328" i="14"/>
  <c r="A329" i="14"/>
  <c r="A330" i="14"/>
  <c r="A331" i="14"/>
  <c r="A288" i="14"/>
  <c r="A289" i="14"/>
  <c r="A290" i="14"/>
  <c r="A291" i="14"/>
  <c r="A292" i="14"/>
  <c r="A293" i="14"/>
  <c r="A294" i="14"/>
  <c r="A287" i="14"/>
  <c r="E231" i="31"/>
  <c r="E232" i="31"/>
  <c r="E233" i="31"/>
  <c r="E234" i="31"/>
  <c r="E235" i="31"/>
  <c r="E236" i="31"/>
  <c r="E237" i="31"/>
  <c r="E238" i="31"/>
  <c r="E239" i="31"/>
  <c r="E240" i="31"/>
  <c r="E241" i="31"/>
  <c r="E242" i="31"/>
  <c r="E243" i="31"/>
  <c r="E244" i="31"/>
  <c r="E245" i="31"/>
  <c r="E246" i="31"/>
  <c r="E247" i="31"/>
  <c r="E248" i="31"/>
  <c r="E249" i="31"/>
  <c r="E250" i="31"/>
  <c r="A249" i="14"/>
  <c r="A250" i="14"/>
  <c r="A251" i="14"/>
  <c r="A252" i="14"/>
  <c r="A253" i="14"/>
  <c r="A254" i="14"/>
  <c r="A255" i="14"/>
  <c r="A238" i="31"/>
  <c r="A239" i="31"/>
  <c r="A240" i="31"/>
  <c r="A241" i="31"/>
  <c r="A242" i="31"/>
  <c r="A243" i="31"/>
  <c r="A244" i="31"/>
  <c r="A245" i="31"/>
  <c r="A246" i="31"/>
  <c r="A247" i="31"/>
  <c r="A248" i="31"/>
  <c r="A249" i="31"/>
  <c r="A250" i="31"/>
  <c r="A248" i="14"/>
  <c r="E241" i="14"/>
  <c r="E222" i="31" s="1"/>
  <c r="F230" i="14"/>
  <c r="F231" i="14"/>
  <c r="F232" i="14"/>
  <c r="F233" i="14"/>
  <c r="F229" i="14"/>
  <c r="E230" i="14"/>
  <c r="E231" i="14"/>
  <c r="E232" i="14"/>
  <c r="E233" i="14"/>
  <c r="E229" i="14"/>
  <c r="F221" i="14"/>
  <c r="F222" i="14"/>
  <c r="D200" i="38" l="1"/>
  <c r="D201" i="38"/>
  <c r="D202" i="38"/>
  <c r="D203" i="38"/>
  <c r="D204" i="38"/>
  <c r="D205" i="38"/>
  <c r="C206" i="38"/>
  <c r="C207" i="38"/>
  <c r="C208" i="38"/>
  <c r="C209" i="38"/>
  <c r="C210" i="38"/>
  <c r="C211" i="38"/>
  <c r="C212" i="38"/>
  <c r="C213" i="38"/>
  <c r="C214" i="38"/>
  <c r="C215" i="38"/>
  <c r="C216" i="38"/>
  <c r="C217" i="38"/>
  <c r="C218" i="38"/>
  <c r="C219" i="38"/>
  <c r="C220" i="38"/>
  <c r="C221" i="38"/>
  <c r="C222" i="38"/>
  <c r="C223" i="38"/>
  <c r="C224" i="38"/>
  <c r="C225" i="38"/>
  <c r="C226" i="38"/>
  <c r="C227" i="38"/>
  <c r="C228" i="38"/>
  <c r="C229" i="38"/>
  <c r="C230" i="38"/>
  <c r="C231" i="38"/>
  <c r="C232" i="38"/>
  <c r="C233" i="38"/>
  <c r="C234" i="38"/>
  <c r="C235" i="38"/>
  <c r="C236" i="38"/>
  <c r="C237" i="38"/>
  <c r="C238" i="38"/>
  <c r="C239" i="38"/>
  <c r="C240" i="38"/>
  <c r="C241" i="38"/>
  <c r="C242" i="38"/>
  <c r="C243" i="38"/>
  <c r="C244" i="38"/>
  <c r="C245" i="38"/>
  <c r="C246" i="38"/>
  <c r="C247" i="38"/>
  <c r="C248" i="38"/>
  <c r="C249" i="38"/>
  <c r="C250" i="38"/>
  <c r="C251" i="38"/>
  <c r="C252" i="38"/>
  <c r="C253" i="38"/>
  <c r="C254" i="38"/>
  <c r="C255" i="38"/>
  <c r="C256" i="38"/>
  <c r="C257" i="38"/>
  <c r="C258" i="38"/>
  <c r="C259" i="38"/>
  <c r="C260" i="38"/>
  <c r="C261" i="38"/>
  <c r="C262" i="38"/>
  <c r="C263" i="38"/>
  <c r="C264" i="38"/>
  <c r="C265" i="38"/>
  <c r="C266" i="38"/>
  <c r="C267" i="38"/>
  <c r="C268" i="38"/>
  <c r="C269" i="38"/>
  <c r="C270" i="38"/>
  <c r="C271" i="38"/>
  <c r="C272" i="38"/>
  <c r="C273" i="38"/>
  <c r="C274" i="38"/>
  <c r="C275" i="38"/>
  <c r="C276" i="38"/>
  <c r="C277" i="38"/>
  <c r="C278" i="38"/>
  <c r="C279" i="38"/>
  <c r="C280" i="38"/>
  <c r="C281" i="38"/>
  <c r="C282" i="38"/>
  <c r="C283" i="38"/>
  <c r="C284" i="38"/>
  <c r="C285" i="38"/>
  <c r="C286" i="38"/>
  <c r="C287" i="38"/>
  <c r="C288" i="38"/>
  <c r="C289" i="38"/>
  <c r="C290" i="38"/>
  <c r="C291" i="38"/>
  <c r="C292" i="38"/>
  <c r="C293" i="38"/>
  <c r="C294" i="38"/>
  <c r="C295" i="38"/>
  <c r="C296" i="38"/>
  <c r="C297" i="38"/>
  <c r="C298" i="38"/>
  <c r="C299" i="38"/>
  <c r="C300" i="38"/>
  <c r="C301" i="38"/>
  <c r="C302" i="38"/>
  <c r="C303" i="38"/>
  <c r="C304" i="38"/>
  <c r="C305" i="38"/>
  <c r="C306" i="38"/>
  <c r="C307" i="38"/>
  <c r="C308" i="38"/>
  <c r="C309" i="38"/>
  <c r="C310" i="38"/>
  <c r="C311" i="38"/>
  <c r="C312" i="38"/>
  <c r="C313" i="38"/>
  <c r="C314" i="38"/>
  <c r="C315" i="38"/>
  <c r="C316" i="38"/>
  <c r="C317" i="38"/>
  <c r="C318" i="38"/>
  <c r="C319" i="38"/>
  <c r="C320" i="38"/>
  <c r="C321" i="38"/>
  <c r="C322" i="38"/>
  <c r="C323" i="38"/>
  <c r="C324" i="38"/>
  <c r="C325" i="38"/>
  <c r="C326" i="38"/>
  <c r="C327" i="38"/>
  <c r="C328" i="38"/>
  <c r="C329" i="38"/>
  <c r="C330" i="38"/>
  <c r="C331" i="38"/>
  <c r="C332" i="38"/>
  <c r="C333" i="38"/>
  <c r="C334" i="38"/>
  <c r="C335" i="38"/>
  <c r="C336" i="38"/>
  <c r="C337" i="38"/>
  <c r="C338" i="38"/>
  <c r="C339" i="38"/>
  <c r="C340" i="38"/>
  <c r="C341" i="38"/>
  <c r="C342" i="38"/>
  <c r="C343" i="38"/>
  <c r="C344" i="38"/>
  <c r="C345" i="38"/>
  <c r="C346" i="38"/>
  <c r="C347" i="38"/>
  <c r="C348" i="38"/>
  <c r="C349" i="38"/>
  <c r="C350" i="38"/>
  <c r="C351" i="38"/>
  <c r="C352" i="38"/>
  <c r="C353" i="38"/>
  <c r="C354" i="38"/>
  <c r="C355" i="38"/>
  <c r="C356" i="38"/>
  <c r="C357" i="38"/>
  <c r="C358" i="38"/>
  <c r="C359" i="38"/>
  <c r="C360" i="38"/>
  <c r="C361" i="38"/>
  <c r="C362" i="38"/>
  <c r="C363" i="38"/>
  <c r="C364" i="38"/>
  <c r="C365" i="38"/>
  <c r="C366" i="38"/>
  <c r="C367" i="38"/>
  <c r="C368" i="38"/>
  <c r="C369" i="38"/>
  <c r="C370" i="38"/>
  <c r="C371" i="38"/>
  <c r="C372" i="38"/>
  <c r="C373" i="38"/>
  <c r="C374" i="38"/>
  <c r="C375" i="38"/>
  <c r="C376" i="38"/>
  <c r="C377" i="38"/>
  <c r="C378" i="38"/>
  <c r="C379" i="38"/>
  <c r="C380" i="38"/>
  <c r="C381" i="38"/>
  <c r="C382" i="38"/>
  <c r="C383" i="38"/>
  <c r="C384" i="38"/>
  <c r="C385" i="38"/>
  <c r="C386" i="38"/>
  <c r="C387" i="38"/>
  <c r="C388" i="38"/>
  <c r="C389" i="38"/>
  <c r="C390" i="38"/>
  <c r="C391" i="38"/>
  <c r="C392" i="38"/>
  <c r="C393" i="38"/>
  <c r="C394" i="38"/>
  <c r="C395" i="38"/>
  <c r="C396" i="38"/>
  <c r="C397" i="38"/>
  <c r="C398" i="38"/>
  <c r="C399" i="38"/>
  <c r="C400" i="38"/>
  <c r="C401" i="38"/>
  <c r="C402" i="38"/>
  <c r="C403" i="38"/>
  <c r="C404" i="38"/>
  <c r="C405" i="38"/>
  <c r="C406" i="38"/>
  <c r="C407" i="38"/>
  <c r="C408" i="38"/>
  <c r="C409" i="38"/>
  <c r="C410" i="38"/>
  <c r="C411" i="38"/>
  <c r="C412" i="38"/>
  <c r="C413" i="38"/>
  <c r="C414" i="38"/>
  <c r="C415" i="38"/>
  <c r="C416" i="38"/>
  <c r="C417" i="38"/>
  <c r="C418" i="38"/>
  <c r="C419" i="38"/>
  <c r="C420" i="38"/>
  <c r="C421" i="38"/>
  <c r="C422" i="38"/>
  <c r="C423" i="38"/>
  <c r="C424" i="38"/>
  <c r="C425" i="38"/>
  <c r="C426" i="38"/>
  <c r="C427" i="38"/>
  <c r="C428" i="38"/>
  <c r="C429" i="38"/>
  <c r="C430" i="38"/>
  <c r="C431" i="38"/>
  <c r="C432" i="38"/>
  <c r="C433" i="38"/>
  <c r="C434" i="38"/>
  <c r="C435" i="38"/>
  <c r="C436" i="38"/>
  <c r="C437" i="38"/>
  <c r="C438" i="38"/>
  <c r="C439" i="38"/>
  <c r="C440" i="38"/>
  <c r="C441" i="38"/>
  <c r="C442" i="38"/>
  <c r="D161" i="38"/>
  <c r="D162" i="38"/>
  <c r="D305" i="31"/>
  <c r="D308" i="31"/>
  <c r="E200" i="38" s="1"/>
  <c r="D309" i="31"/>
  <c r="E201" i="38" s="1"/>
  <c r="D310" i="31"/>
  <c r="E202" i="38" s="1"/>
  <c r="D311" i="31"/>
  <c r="E203" i="38" s="1"/>
  <c r="E230" i="31"/>
  <c r="B230" i="31"/>
  <c r="B231" i="31"/>
  <c r="E211" i="31"/>
  <c r="E212" i="31"/>
  <c r="E213" i="31"/>
  <c r="E214" i="31"/>
  <c r="E210" i="31"/>
  <c r="E190" i="31"/>
  <c r="E191" i="31"/>
  <c r="E192" i="31"/>
  <c r="E193" i="31"/>
  <c r="E194" i="31"/>
  <c r="E189" i="31"/>
  <c r="E323" i="14"/>
  <c r="E305" i="31" s="1"/>
  <c r="E324" i="14"/>
  <c r="E306" i="31" s="1"/>
  <c r="E325" i="14"/>
  <c r="E307" i="31" s="1"/>
  <c r="E326" i="14"/>
  <c r="E308" i="31" s="1"/>
  <c r="F308" i="31" s="1"/>
  <c r="E327" i="14"/>
  <c r="E309" i="31" s="1"/>
  <c r="F309" i="31" s="1"/>
  <c r="E328" i="14"/>
  <c r="E310" i="31" s="1"/>
  <c r="F310" i="31" s="1"/>
  <c r="E329" i="14"/>
  <c r="E311" i="31" s="1"/>
  <c r="F311" i="31" s="1"/>
  <c r="E330" i="14"/>
  <c r="E312" i="31" s="1"/>
  <c r="E331" i="14"/>
  <c r="E313" i="31" s="1"/>
  <c r="E287" i="14"/>
  <c r="E269" i="31" s="1"/>
  <c r="D331" i="14"/>
  <c r="D313" i="31" s="1"/>
  <c r="D330" i="14"/>
  <c r="D312" i="31" s="1"/>
  <c r="E204" i="38" s="1"/>
  <c r="D325" i="14"/>
  <c r="D307" i="31" s="1"/>
  <c r="D324" i="14"/>
  <c r="D306" i="31" s="1"/>
  <c r="A312" i="31"/>
  <c r="C204" i="38" s="1"/>
  <c r="A313" i="31"/>
  <c r="C205" i="38" s="1"/>
  <c r="A309" i="31"/>
  <c r="C201" i="38" s="1"/>
  <c r="A310" i="31"/>
  <c r="C202" i="38" s="1"/>
  <c r="A311" i="31"/>
  <c r="C203" i="38" s="1"/>
  <c r="A270" i="31"/>
  <c r="C162" i="38" s="1"/>
  <c r="A271" i="31"/>
  <c r="A272" i="31"/>
  <c r="A273" i="31"/>
  <c r="A274" i="31"/>
  <c r="A275" i="31"/>
  <c r="A276" i="31"/>
  <c r="A277" i="31"/>
  <c r="A278" i="31"/>
  <c r="A279" i="31"/>
  <c r="A280" i="31"/>
  <c r="A281" i="31"/>
  <c r="A282" i="31"/>
  <c r="A283" i="31"/>
  <c r="A284" i="31"/>
  <c r="A285" i="31"/>
  <c r="A286" i="31"/>
  <c r="A287" i="31"/>
  <c r="A288" i="31"/>
  <c r="A289" i="31"/>
  <c r="A290" i="31"/>
  <c r="A291" i="31"/>
  <c r="A292" i="31"/>
  <c r="A293" i="31"/>
  <c r="A294" i="31"/>
  <c r="A295" i="31"/>
  <c r="A296" i="31"/>
  <c r="A297" i="31"/>
  <c r="A298" i="31"/>
  <c r="A299" i="31"/>
  <c r="A300" i="31"/>
  <c r="A301" i="31"/>
  <c r="A302" i="31"/>
  <c r="A303" i="31"/>
  <c r="A304" i="31"/>
  <c r="A305" i="31"/>
  <c r="A306" i="31"/>
  <c r="A307" i="31"/>
  <c r="A308" i="31"/>
  <c r="C200" i="38" s="1"/>
  <c r="A269" i="31"/>
  <c r="C161" i="38" s="1"/>
  <c r="A231" i="31"/>
  <c r="A232" i="31"/>
  <c r="A233" i="31"/>
  <c r="A234" i="31"/>
  <c r="A235" i="31"/>
  <c r="A236" i="31"/>
  <c r="A237" i="31"/>
  <c r="A230" i="31"/>
  <c r="B167" i="14"/>
  <c r="H167" i="14" s="1"/>
  <c r="B168" i="14"/>
  <c r="H168" i="14" s="1"/>
  <c r="B169" i="14"/>
  <c r="H169" i="14" s="1"/>
  <c r="B166" i="14"/>
  <c r="H166" i="14" s="1"/>
  <c r="G152" i="14"/>
  <c r="G153" i="14"/>
  <c r="B25" i="14"/>
  <c r="H25" i="14" s="1"/>
  <c r="B24" i="14"/>
  <c r="H24" i="14" s="1"/>
  <c r="C124" i="40"/>
  <c r="C123" i="40"/>
  <c r="H126" i="15"/>
  <c r="H125" i="15"/>
  <c r="H124" i="15"/>
  <c r="H123" i="15"/>
  <c r="H25" i="15"/>
  <c r="H24" i="15"/>
  <c r="G155" i="14" l="1"/>
  <c r="B162" i="31"/>
  <c r="H162" i="31" s="1"/>
  <c r="B160" i="31"/>
  <c r="H160" i="31" s="1"/>
  <c r="B26" i="31"/>
  <c r="H26" i="31" s="1"/>
  <c r="B25" i="31"/>
  <c r="B163" i="31"/>
  <c r="H163" i="31" s="1"/>
  <c r="B161" i="31"/>
  <c r="H161" i="31" s="1"/>
  <c r="E205" i="38"/>
  <c r="F313" i="31"/>
  <c r="F312" i="31"/>
  <c r="B289" i="14" l="1"/>
  <c r="B290" i="14"/>
  <c r="B291" i="14"/>
  <c r="B292" i="14"/>
  <c r="B293" i="14"/>
  <c r="B294" i="14"/>
  <c r="B295" i="14"/>
  <c r="B296" i="14"/>
  <c r="B297" i="14"/>
  <c r="B298" i="14"/>
  <c r="B299" i="14"/>
  <c r="B300" i="14"/>
  <c r="B301" i="14"/>
  <c r="B302" i="14"/>
  <c r="B303" i="14"/>
  <c r="B304" i="14"/>
  <c r="B305" i="14"/>
  <c r="B306" i="14"/>
  <c r="B307" i="14"/>
  <c r="B240" i="31"/>
  <c r="B241" i="31"/>
  <c r="B242" i="31"/>
  <c r="B243" i="31"/>
  <c r="B244" i="31"/>
  <c r="B245" i="31"/>
  <c r="B210" i="15" s="1"/>
  <c r="B246" i="31"/>
  <c r="B211" i="15" s="1"/>
  <c r="B247" i="31"/>
  <c r="B212" i="15" s="1"/>
  <c r="B248" i="31"/>
  <c r="B213" i="15" s="1"/>
  <c r="B249" i="31"/>
  <c r="B250" i="31"/>
  <c r="B251" i="31"/>
  <c r="B239" i="31"/>
  <c r="B209" i="15" l="1"/>
  <c r="B204" i="15"/>
  <c r="B208" i="15"/>
  <c r="B203" i="15"/>
  <c r="B207" i="15"/>
  <c r="B202" i="15"/>
  <c r="B206" i="15"/>
  <c r="B201" i="15"/>
  <c r="B205" i="15"/>
  <c r="B200" i="15"/>
  <c r="A190" i="31"/>
  <c r="A191" i="31"/>
  <c r="A192" i="31"/>
  <c r="A193" i="31"/>
  <c r="A194" i="31"/>
  <c r="A189" i="31"/>
  <c r="D126" i="15" l="1"/>
  <c r="D125" i="15"/>
  <c r="A126" i="15"/>
  <c r="A125" i="15"/>
  <c r="A124" i="15"/>
  <c r="A123" i="15"/>
  <c r="D124" i="15"/>
  <c r="D123" i="15"/>
  <c r="E123" i="15" l="1"/>
  <c r="G123" i="15" s="1"/>
  <c r="I123" i="15" s="1"/>
  <c r="E125" i="15"/>
  <c r="G125" i="15" s="1"/>
  <c r="I125" i="15" s="1"/>
  <c r="E124" i="15"/>
  <c r="G124" i="15" s="1"/>
  <c r="I124" i="15" s="1"/>
  <c r="E126" i="15"/>
  <c r="G126" i="15" s="1"/>
  <c r="I126" i="15" s="1"/>
  <c r="I127" i="15" l="1"/>
  <c r="A167" i="14"/>
  <c r="A168" i="14"/>
  <c r="A169" i="14"/>
  <c r="A166" i="14"/>
  <c r="A159" i="14" l="1"/>
  <c r="A153" i="31" s="1"/>
  <c r="A14" i="14"/>
  <c r="A15" i="31" s="1"/>
  <c r="E449" i="15" l="1"/>
  <c r="E450" i="15"/>
  <c r="E451" i="15"/>
  <c r="E452" i="15"/>
  <c r="E453" i="15"/>
  <c r="E454" i="15"/>
  <c r="E455" i="15"/>
  <c r="E456" i="15"/>
  <c r="E457" i="15"/>
  <c r="E458" i="15"/>
  <c r="E459" i="15"/>
  <c r="E460" i="15"/>
  <c r="E461" i="15"/>
  <c r="E462" i="15"/>
  <c r="E463" i="15"/>
  <c r="E464" i="15"/>
  <c r="E465" i="15"/>
  <c r="E466" i="15"/>
  <c r="E533" i="14"/>
  <c r="E521" i="14"/>
  <c r="E522" i="14"/>
  <c r="E523" i="14"/>
  <c r="E524" i="14"/>
  <c r="E525" i="14"/>
  <c r="E526" i="14"/>
  <c r="E527" i="14"/>
  <c r="E528" i="14"/>
  <c r="E529" i="14"/>
  <c r="E530" i="14"/>
  <c r="E531" i="14"/>
  <c r="E532" i="14"/>
  <c r="E516" i="14"/>
  <c r="E517" i="14"/>
  <c r="E518" i="14"/>
  <c r="E519" i="14"/>
  <c r="E520" i="14"/>
  <c r="D390" i="38"/>
  <c r="D391" i="38"/>
  <c r="D392" i="38"/>
  <c r="D393" i="38"/>
  <c r="D394" i="38"/>
  <c r="D395" i="38"/>
  <c r="D396" i="38"/>
  <c r="D397" i="38"/>
  <c r="D398" i="38"/>
  <c r="D399" i="38"/>
  <c r="D400" i="38"/>
  <c r="D401" i="38"/>
  <c r="C175" i="38"/>
  <c r="C193" i="39" s="1"/>
  <c r="C137" i="40" s="1"/>
  <c r="D175" i="38"/>
  <c r="D193" i="39" s="1"/>
  <c r="D137" i="40" s="1"/>
  <c r="C176" i="38"/>
  <c r="C194" i="39" s="1"/>
  <c r="C138" i="40" s="1"/>
  <c r="D176" i="38"/>
  <c r="D194" i="39" s="1"/>
  <c r="D138" i="40" s="1"/>
  <c r="C166" i="38"/>
  <c r="C184" i="39" s="1"/>
  <c r="C128" i="40" s="1"/>
  <c r="D166" i="38"/>
  <c r="D184" i="39" s="1"/>
  <c r="D128" i="40" s="1"/>
  <c r="D164" i="38"/>
  <c r="D182" i="39" s="1"/>
  <c r="D126" i="40" s="1"/>
  <c r="C164" i="38"/>
  <c r="C182" i="39" s="1"/>
  <c r="C126" i="40" s="1"/>
  <c r="K40" i="41"/>
  <c r="K39" i="41"/>
  <c r="K38" i="41"/>
  <c r="K37" i="41"/>
  <c r="K36" i="41"/>
  <c r="K35" i="41"/>
  <c r="K34" i="41"/>
  <c r="K33" i="41"/>
  <c r="K32" i="41"/>
  <c r="K31" i="41"/>
  <c r="K30" i="41"/>
  <c r="K29" i="41"/>
  <c r="K28" i="41"/>
  <c r="K27" i="41"/>
  <c r="K26" i="41"/>
  <c r="K25" i="41"/>
  <c r="K24" i="41"/>
  <c r="K23" i="41"/>
  <c r="K22" i="41"/>
  <c r="K21" i="41"/>
  <c r="K20" i="41"/>
  <c r="K19" i="41"/>
  <c r="K18" i="41"/>
  <c r="K17" i="41"/>
  <c r="K16" i="41"/>
  <c r="I15" i="41"/>
  <c r="I14" i="41"/>
  <c r="I13" i="41"/>
  <c r="I12" i="41"/>
  <c r="I11" i="41"/>
  <c r="I10" i="41"/>
  <c r="I9" i="41"/>
  <c r="I8" i="41"/>
  <c r="I7" i="41"/>
  <c r="I6" i="41"/>
  <c r="K5" i="41"/>
  <c r="K4" i="41"/>
  <c r="K3" i="41"/>
  <c r="G144" i="31" l="1"/>
  <c r="G145" i="31"/>
  <c r="G146" i="31"/>
  <c r="G148" i="31"/>
  <c r="G149" i="31"/>
  <c r="G150" i="31"/>
  <c r="D154" i="39" l="1"/>
  <c r="D155" i="39"/>
  <c r="D156" i="39"/>
  <c r="D157" i="39"/>
  <c r="D158" i="39"/>
  <c r="D364" i="38"/>
  <c r="D365" i="38"/>
  <c r="D366" i="38"/>
  <c r="D367" i="38"/>
  <c r="D368" i="38"/>
  <c r="D369" i="38"/>
  <c r="D370" i="38"/>
  <c r="D371" i="38"/>
  <c r="D372" i="38"/>
  <c r="D373" i="38"/>
  <c r="D374" i="38"/>
  <c r="D375" i="38"/>
  <c r="D376" i="38"/>
  <c r="D377" i="38"/>
  <c r="D378" i="38"/>
  <c r="D379" i="38"/>
  <c r="D380" i="38"/>
  <c r="D381" i="38"/>
  <c r="D382" i="38"/>
  <c r="D383" i="38"/>
  <c r="D384" i="38"/>
  <c r="D385" i="38"/>
  <c r="D386" i="38"/>
  <c r="D387" i="38"/>
  <c r="D388" i="38"/>
  <c r="D389" i="38"/>
  <c r="C130" i="38"/>
  <c r="C131" i="38"/>
  <c r="C132" i="38"/>
  <c r="C133" i="38"/>
  <c r="C134" i="38"/>
  <c r="C135" i="38"/>
  <c r="C136" i="38"/>
  <c r="C137" i="38"/>
  <c r="C110" i="38"/>
  <c r="C111" i="38"/>
  <c r="C112" i="38"/>
  <c r="C113" i="38"/>
  <c r="C114" i="38"/>
  <c r="C115" i="38"/>
  <c r="C116" i="38"/>
  <c r="C117" i="38"/>
  <c r="C118" i="38"/>
  <c r="C119" i="38"/>
  <c r="C120" i="38"/>
  <c r="C121" i="38"/>
  <c r="C122" i="38"/>
  <c r="C127" i="38"/>
  <c r="C128" i="38"/>
  <c r="C129" i="38"/>
  <c r="E310" i="15"/>
  <c r="E311" i="15"/>
  <c r="E312" i="15"/>
  <c r="E313" i="15"/>
  <c r="E314" i="15"/>
  <c r="E315" i="15"/>
  <c r="E316" i="15"/>
  <c r="E317" i="15"/>
  <c r="E318" i="15"/>
  <c r="E319" i="15"/>
  <c r="E320" i="15"/>
  <c r="E321" i="15"/>
  <c r="E322" i="15"/>
  <c r="E323" i="15"/>
  <c r="E324" i="15"/>
  <c r="E325" i="15"/>
  <c r="E326" i="15"/>
  <c r="E327" i="15"/>
  <c r="E328" i="15"/>
  <c r="E329" i="15"/>
  <c r="E330" i="15"/>
  <c r="E331" i="15"/>
  <c r="E332" i="15"/>
  <c r="E333" i="15"/>
  <c r="E334" i="15"/>
  <c r="E335" i="15"/>
  <c r="E336" i="15"/>
  <c r="E337" i="15"/>
  <c r="E338" i="15"/>
  <c r="E339" i="15"/>
  <c r="E340" i="15"/>
  <c r="E341" i="15"/>
  <c r="E342" i="15"/>
  <c r="E343" i="15"/>
  <c r="E344" i="15"/>
  <c r="E345" i="15"/>
  <c r="E346" i="15"/>
  <c r="E347" i="15"/>
  <c r="E348" i="15"/>
  <c r="E349" i="15"/>
  <c r="E350" i="15"/>
  <c r="E351" i="15"/>
  <c r="E352" i="15"/>
  <c r="E353" i="15"/>
  <c r="E354" i="15"/>
  <c r="E355" i="15"/>
  <c r="E356" i="15"/>
  <c r="E357" i="15"/>
  <c r="E358" i="15"/>
  <c r="E359" i="15"/>
  <c r="E360" i="15"/>
  <c r="E361" i="15"/>
  <c r="E362" i="15"/>
  <c r="E363" i="15"/>
  <c r="E364" i="15"/>
  <c r="E365" i="15"/>
  <c r="E366" i="15"/>
  <c r="E367" i="15"/>
  <c r="E368" i="15"/>
  <c r="E369" i="15"/>
  <c r="E370" i="15"/>
  <c r="E371" i="15"/>
  <c r="E372" i="15"/>
  <c r="E373" i="15"/>
  <c r="E374" i="15"/>
  <c r="E375" i="15"/>
  <c r="E376" i="15"/>
  <c r="E377" i="15"/>
  <c r="E378" i="15"/>
  <c r="E379" i="15"/>
  <c r="E380" i="15"/>
  <c r="E381" i="15"/>
  <c r="E382" i="15"/>
  <c r="E383" i="15"/>
  <c r="E384" i="15"/>
  <c r="E385" i="15"/>
  <c r="E386" i="15"/>
  <c r="E387" i="15"/>
  <c r="E388" i="15"/>
  <c r="E389" i="15"/>
  <c r="E390" i="15"/>
  <c r="E391" i="15"/>
  <c r="E392" i="15"/>
  <c r="E393" i="15"/>
  <c r="E394" i="15"/>
  <c r="E395" i="15"/>
  <c r="E396" i="15"/>
  <c r="E397" i="15"/>
  <c r="E398" i="15"/>
  <c r="E399" i="15"/>
  <c r="E400" i="15"/>
  <c r="E401" i="15"/>
  <c r="E402" i="15"/>
  <c r="E403" i="15"/>
  <c r="E404" i="15"/>
  <c r="E405" i="15"/>
  <c r="E406" i="15"/>
  <c r="E407" i="15"/>
  <c r="E408" i="15"/>
  <c r="E409" i="15"/>
  <c r="E410" i="15"/>
  <c r="E411" i="15"/>
  <c r="E412" i="15"/>
  <c r="E413" i="15"/>
  <c r="E414" i="15"/>
  <c r="E415" i="15"/>
  <c r="E416" i="15"/>
  <c r="E417" i="15"/>
  <c r="E418" i="15"/>
  <c r="E419" i="15"/>
  <c r="E420" i="15"/>
  <c r="E421" i="15"/>
  <c r="E422" i="15"/>
  <c r="E423" i="15"/>
  <c r="E424" i="15"/>
  <c r="E425" i="15"/>
  <c r="E426" i="15"/>
  <c r="E427" i="15"/>
  <c r="E428" i="15"/>
  <c r="E429" i="15"/>
  <c r="E430" i="15"/>
  <c r="E431" i="15"/>
  <c r="E432" i="15"/>
  <c r="E433" i="15"/>
  <c r="E434" i="15"/>
  <c r="E435" i="15"/>
  <c r="E436" i="15"/>
  <c r="E437" i="15"/>
  <c r="E438" i="15"/>
  <c r="E439" i="15"/>
  <c r="E440" i="15"/>
  <c r="E441" i="15"/>
  <c r="E442" i="15"/>
  <c r="E443" i="15"/>
  <c r="E444" i="15"/>
  <c r="E445" i="15"/>
  <c r="E446" i="15"/>
  <c r="E447" i="15"/>
  <c r="E448" i="15"/>
  <c r="E400" i="14"/>
  <c r="E401" i="14"/>
  <c r="E402" i="14"/>
  <c r="E403" i="14"/>
  <c r="E404" i="14"/>
  <c r="E405" i="14"/>
  <c r="E406" i="14"/>
  <c r="E407" i="14"/>
  <c r="E408" i="14"/>
  <c r="E409" i="14"/>
  <c r="E410" i="14"/>
  <c r="E411" i="14"/>
  <c r="E412" i="14"/>
  <c r="E413" i="14"/>
  <c r="E414" i="14"/>
  <c r="E415" i="14"/>
  <c r="E416" i="14"/>
  <c r="E417" i="14"/>
  <c r="E418" i="14"/>
  <c r="E419" i="14"/>
  <c r="E420" i="14"/>
  <c r="E421" i="14"/>
  <c r="E422" i="14"/>
  <c r="E423" i="14"/>
  <c r="E424" i="14"/>
  <c r="E425" i="14"/>
  <c r="E426" i="14"/>
  <c r="E427" i="14"/>
  <c r="E428" i="14"/>
  <c r="E429" i="14"/>
  <c r="E430" i="14"/>
  <c r="E431" i="14"/>
  <c r="E432" i="14"/>
  <c r="E433" i="14"/>
  <c r="E434" i="14"/>
  <c r="E435" i="14"/>
  <c r="E436" i="14"/>
  <c r="E437" i="14"/>
  <c r="E438" i="14"/>
  <c r="E439" i="14"/>
  <c r="E440" i="14"/>
  <c r="E441" i="14"/>
  <c r="E442" i="14"/>
  <c r="E443" i="14"/>
  <c r="E444" i="14"/>
  <c r="E445" i="14"/>
  <c r="E446" i="14"/>
  <c r="E447" i="14"/>
  <c r="E448" i="14"/>
  <c r="E449" i="14"/>
  <c r="E450" i="14"/>
  <c r="E451" i="14"/>
  <c r="E452" i="14"/>
  <c r="E453" i="14"/>
  <c r="E454" i="14"/>
  <c r="E455" i="14"/>
  <c r="E456" i="14"/>
  <c r="E457" i="14"/>
  <c r="E458" i="14"/>
  <c r="E459" i="14"/>
  <c r="E460" i="14"/>
  <c r="E461" i="14"/>
  <c r="E462" i="14"/>
  <c r="E463" i="14"/>
  <c r="E464" i="14"/>
  <c r="E465" i="14"/>
  <c r="E466" i="14"/>
  <c r="E467" i="14"/>
  <c r="E468" i="14"/>
  <c r="E469" i="14"/>
  <c r="E470" i="14"/>
  <c r="E471" i="14"/>
  <c r="E472" i="14"/>
  <c r="E473" i="14"/>
  <c r="E474" i="14"/>
  <c r="E475" i="14"/>
  <c r="E476" i="14"/>
  <c r="E477" i="14"/>
  <c r="E478" i="14"/>
  <c r="E479" i="14"/>
  <c r="E480" i="14"/>
  <c r="E481" i="14"/>
  <c r="E482" i="14"/>
  <c r="E483" i="14"/>
  <c r="E484" i="14"/>
  <c r="E485" i="14"/>
  <c r="E486" i="14"/>
  <c r="E487" i="14"/>
  <c r="E488" i="14"/>
  <c r="E489" i="14"/>
  <c r="E490" i="14"/>
  <c r="E491" i="14"/>
  <c r="E492" i="14"/>
  <c r="E493" i="14"/>
  <c r="E494" i="14"/>
  <c r="E495" i="14"/>
  <c r="E496" i="14"/>
  <c r="E497" i="14"/>
  <c r="E498" i="14"/>
  <c r="E499" i="14"/>
  <c r="E500" i="14"/>
  <c r="E501" i="14"/>
  <c r="E502" i="14"/>
  <c r="E503" i="14"/>
  <c r="E504" i="14"/>
  <c r="E505" i="14"/>
  <c r="E506" i="14"/>
  <c r="E507" i="14"/>
  <c r="E508" i="14"/>
  <c r="E509" i="14"/>
  <c r="E510" i="14"/>
  <c r="E511" i="14"/>
  <c r="E512" i="14"/>
  <c r="E513" i="14"/>
  <c r="E514" i="14"/>
  <c r="E515" i="14"/>
  <c r="C353" i="39"/>
  <c r="C297" i="40" s="1"/>
  <c r="C355" i="39"/>
  <c r="C299" i="40" s="1"/>
  <c r="C357" i="39"/>
  <c r="C301" i="40" s="1"/>
  <c r="C359" i="39"/>
  <c r="C303" i="40" s="1"/>
  <c r="C361" i="39"/>
  <c r="C305" i="40" s="1"/>
  <c r="C363" i="39"/>
  <c r="C307" i="40" s="1"/>
  <c r="C365" i="39"/>
  <c r="C309" i="40" s="1"/>
  <c r="C367" i="39"/>
  <c r="C311" i="40" s="1"/>
  <c r="C369" i="39"/>
  <c r="C313" i="40" s="1"/>
  <c r="C371" i="39"/>
  <c r="C315" i="40" s="1"/>
  <c r="C373" i="39"/>
  <c r="C317" i="40" s="1"/>
  <c r="C374" i="39"/>
  <c r="C318" i="40" s="1"/>
  <c r="C376" i="39"/>
  <c r="C320" i="40" s="1"/>
  <c r="C377" i="39"/>
  <c r="C321" i="40" s="1"/>
  <c r="C378" i="39"/>
  <c r="C322" i="40" s="1"/>
  <c r="C380" i="39"/>
  <c r="C324" i="40" s="1"/>
  <c r="C381" i="39"/>
  <c r="C325" i="40" s="1"/>
  <c r="C382" i="39"/>
  <c r="C326" i="40" s="1"/>
  <c r="C384" i="39"/>
  <c r="C328" i="40" s="1"/>
  <c r="C385" i="39"/>
  <c r="C329" i="40" s="1"/>
  <c r="C386" i="39"/>
  <c r="C330" i="40" s="1"/>
  <c r="C388" i="39"/>
  <c r="C332" i="40" s="1"/>
  <c r="C389" i="39"/>
  <c r="C333" i="40" s="1"/>
  <c r="C390" i="39"/>
  <c r="C334" i="40" s="1"/>
  <c r="C392" i="39"/>
  <c r="C336" i="40" s="1"/>
  <c r="C393" i="39"/>
  <c r="C337" i="40" s="1"/>
  <c r="C394" i="39"/>
  <c r="C338" i="40" s="1"/>
  <c r="C396" i="39"/>
  <c r="C340" i="40" s="1"/>
  <c r="C397" i="39"/>
  <c r="C341" i="40" s="1"/>
  <c r="C398" i="39"/>
  <c r="C342" i="40" s="1"/>
  <c r="C400" i="39"/>
  <c r="C344" i="40" s="1"/>
  <c r="C401" i="39"/>
  <c r="C345" i="40" s="1"/>
  <c r="C402" i="39"/>
  <c r="C346" i="40" s="1"/>
  <c r="C404" i="39"/>
  <c r="C348" i="40" s="1"/>
  <c r="C405" i="39"/>
  <c r="C349" i="40" s="1"/>
  <c r="C406" i="39"/>
  <c r="C350" i="40" s="1"/>
  <c r="C411" i="39"/>
  <c r="C355" i="40" s="1"/>
  <c r="C412" i="39"/>
  <c r="C356" i="40" s="1"/>
  <c r="C413" i="39"/>
  <c r="C357" i="40" s="1"/>
  <c r="C78" i="40"/>
  <c r="C79" i="40"/>
  <c r="C80" i="40"/>
  <c r="C81" i="40"/>
  <c r="C82" i="40"/>
  <c r="C83" i="40"/>
  <c r="C84" i="40"/>
  <c r="C85" i="40"/>
  <c r="C86" i="40"/>
  <c r="C87" i="40"/>
  <c r="C90" i="40"/>
  <c r="C91" i="40"/>
  <c r="C92" i="40"/>
  <c r="C93" i="40"/>
  <c r="C94" i="40"/>
  <c r="C95" i="40"/>
  <c r="C96" i="40"/>
  <c r="C97" i="40"/>
  <c r="C98" i="40"/>
  <c r="C99" i="40"/>
  <c r="C100" i="40"/>
  <c r="C132" i="39"/>
  <c r="C133" i="39"/>
  <c r="C134" i="39"/>
  <c r="C135" i="39"/>
  <c r="C136" i="39"/>
  <c r="C137" i="39"/>
  <c r="C138" i="39"/>
  <c r="C139" i="39"/>
  <c r="C140" i="39"/>
  <c r="C141" i="39"/>
  <c r="C142" i="39"/>
  <c r="C143" i="39"/>
  <c r="C144" i="39"/>
  <c r="C145" i="39"/>
  <c r="A270" i="14"/>
  <c r="A271" i="14"/>
  <c r="A272" i="14"/>
  <c r="C150" i="39" s="1"/>
  <c r="A273" i="14"/>
  <c r="C151" i="39" s="1"/>
  <c r="A274" i="14"/>
  <c r="C152" i="39" s="1"/>
  <c r="A275" i="14"/>
  <c r="C153" i="39" s="1"/>
  <c r="A276" i="14"/>
  <c r="C154" i="39" s="1"/>
  <c r="A277" i="14"/>
  <c r="C155" i="39" s="1"/>
  <c r="A278" i="14"/>
  <c r="C156" i="39" s="1"/>
  <c r="A279" i="14"/>
  <c r="C157" i="39" s="1"/>
  <c r="A280" i="14"/>
  <c r="C158" i="39" s="1"/>
  <c r="B233" i="31"/>
  <c r="B194" i="15" s="1"/>
  <c r="B234" i="31"/>
  <c r="B195" i="15" s="1"/>
  <c r="B235" i="31"/>
  <c r="B196" i="15" s="1"/>
  <c r="B236" i="31"/>
  <c r="B197" i="15" s="1"/>
  <c r="B237" i="31"/>
  <c r="B198" i="15" s="1"/>
  <c r="B238" i="31"/>
  <c r="B199" i="15" s="1"/>
  <c r="B232" i="31"/>
  <c r="B193" i="15" s="1"/>
  <c r="C149" i="39" l="1"/>
  <c r="C148" i="39"/>
  <c r="C409" i="39"/>
  <c r="C353" i="40" s="1"/>
  <c r="C410" i="39"/>
  <c r="C354" i="40" s="1"/>
  <c r="C408" i="39"/>
  <c r="C352" i="40" s="1"/>
  <c r="C403" i="39"/>
  <c r="C347" i="40" s="1"/>
  <c r="C395" i="39"/>
  <c r="C339" i="40" s="1"/>
  <c r="C387" i="39"/>
  <c r="C331" i="40" s="1"/>
  <c r="C379" i="39"/>
  <c r="C323" i="40" s="1"/>
  <c r="C407" i="39"/>
  <c r="C351" i="40" s="1"/>
  <c r="C399" i="39"/>
  <c r="C343" i="40" s="1"/>
  <c r="C391" i="39"/>
  <c r="C335" i="40" s="1"/>
  <c r="C383" i="39"/>
  <c r="C327" i="40" s="1"/>
  <c r="C375" i="39"/>
  <c r="C319" i="40" s="1"/>
  <c r="C372" i="39"/>
  <c r="C316" i="40" s="1"/>
  <c r="C366" i="39"/>
  <c r="C310" i="40" s="1"/>
  <c r="C362" i="39"/>
  <c r="C306" i="40" s="1"/>
  <c r="C358" i="39"/>
  <c r="C302" i="40" s="1"/>
  <c r="C352" i="39"/>
  <c r="C296" i="40" s="1"/>
  <c r="C370" i="39"/>
  <c r="C314" i="40" s="1"/>
  <c r="C368" i="39"/>
  <c r="C312" i="40" s="1"/>
  <c r="C364" i="39"/>
  <c r="C308" i="40" s="1"/>
  <c r="C360" i="39"/>
  <c r="C304" i="40" s="1"/>
  <c r="C356" i="39"/>
  <c r="C300" i="40" s="1"/>
  <c r="C354" i="39"/>
  <c r="C298" i="40" s="1"/>
  <c r="C89" i="40" l="1"/>
  <c r="E111" i="39"/>
  <c r="E112" i="39"/>
  <c r="C112" i="39"/>
  <c r="C113" i="39"/>
  <c r="C114" i="39"/>
  <c r="C115" i="39"/>
  <c r="C116" i="39"/>
  <c r="E158" i="38"/>
  <c r="C158" i="38"/>
  <c r="C414" i="39"/>
  <c r="C358" i="40" s="1"/>
  <c r="C415" i="39"/>
  <c r="C359" i="40" s="1"/>
  <c r="C416" i="39"/>
  <c r="C360" i="40" s="1"/>
  <c r="C417" i="39"/>
  <c r="C361" i="40" s="1"/>
  <c r="C418" i="39"/>
  <c r="C362" i="40" s="1"/>
  <c r="C419" i="39"/>
  <c r="C363" i="40" s="1"/>
  <c r="A184" i="15"/>
  <c r="E240" i="14"/>
  <c r="G240" i="14" s="1"/>
  <c r="G221" i="31"/>
  <c r="C88" i="40" l="1"/>
  <c r="D127" i="39"/>
  <c r="D128" i="39"/>
  <c r="D129" i="39"/>
  <c r="D130" i="39"/>
  <c r="D131" i="39"/>
  <c r="D132" i="39"/>
  <c r="D133" i="39"/>
  <c r="D134" i="39"/>
  <c r="D135" i="39"/>
  <c r="D136" i="39"/>
  <c r="D137" i="39"/>
  <c r="D138" i="39"/>
  <c r="D139" i="39"/>
  <c r="D140" i="39"/>
  <c r="D141" i="39"/>
  <c r="D142" i="39"/>
  <c r="D143" i="39"/>
  <c r="D144" i="39"/>
  <c r="D145" i="39"/>
  <c r="D146" i="39"/>
  <c r="D147" i="39"/>
  <c r="D126" i="39"/>
  <c r="D165" i="38"/>
  <c r="D183" i="39" s="1"/>
  <c r="D127" i="40" s="1"/>
  <c r="D167" i="38"/>
  <c r="D185" i="39" s="1"/>
  <c r="D129" i="40" s="1"/>
  <c r="D168" i="38"/>
  <c r="D186" i="39" s="1"/>
  <c r="D130" i="40" s="1"/>
  <c r="D169" i="38"/>
  <c r="D187" i="39" s="1"/>
  <c r="D131" i="40" s="1"/>
  <c r="D170" i="38"/>
  <c r="D188" i="39" s="1"/>
  <c r="D132" i="40" s="1"/>
  <c r="D171" i="38"/>
  <c r="D189" i="39" s="1"/>
  <c r="D133" i="40" s="1"/>
  <c r="D172" i="38"/>
  <c r="D190" i="39" s="1"/>
  <c r="D134" i="40" s="1"/>
  <c r="D173" i="38"/>
  <c r="D191" i="39" s="1"/>
  <c r="D135" i="40" s="1"/>
  <c r="D174" i="38"/>
  <c r="D192" i="39" s="1"/>
  <c r="D136" i="40" s="1"/>
  <c r="D177" i="38"/>
  <c r="D195" i="39" s="1"/>
  <c r="D139" i="40" s="1"/>
  <c r="D178" i="38"/>
  <c r="D196" i="39" s="1"/>
  <c r="D140" i="40" s="1"/>
  <c r="D179" i="38"/>
  <c r="D197" i="39" s="1"/>
  <c r="D141" i="40" s="1"/>
  <c r="D180" i="38"/>
  <c r="D198" i="39" s="1"/>
  <c r="D142" i="40" s="1"/>
  <c r="D181" i="38"/>
  <c r="D199" i="39" s="1"/>
  <c r="D143" i="40" s="1"/>
  <c r="D182" i="38"/>
  <c r="D200" i="39" s="1"/>
  <c r="D144" i="40" s="1"/>
  <c r="D183" i="38"/>
  <c r="D201" i="39" s="1"/>
  <c r="D145" i="40" s="1"/>
  <c r="D184" i="38"/>
  <c r="D202" i="39" s="1"/>
  <c r="D146" i="40" s="1"/>
  <c r="D185" i="38"/>
  <c r="D203" i="39" s="1"/>
  <c r="D147" i="40" s="1"/>
  <c r="D186" i="38"/>
  <c r="D204" i="39" s="1"/>
  <c r="D148" i="40" s="1"/>
  <c r="D187" i="38"/>
  <c r="D205" i="39" s="1"/>
  <c r="D149" i="40" s="1"/>
  <c r="D188" i="38"/>
  <c r="D206" i="39" s="1"/>
  <c r="D150" i="40" s="1"/>
  <c r="D189" i="38"/>
  <c r="D207" i="39" s="1"/>
  <c r="D151" i="40" s="1"/>
  <c r="D190" i="38"/>
  <c r="D208" i="39" s="1"/>
  <c r="D152" i="40" s="1"/>
  <c r="D191" i="38"/>
  <c r="D209" i="39" s="1"/>
  <c r="D153" i="40" s="1"/>
  <c r="D192" i="38"/>
  <c r="D210" i="39" s="1"/>
  <c r="D154" i="40" s="1"/>
  <c r="D193" i="38"/>
  <c r="D211" i="39" s="1"/>
  <c r="D155" i="40" s="1"/>
  <c r="D194" i="38"/>
  <c r="D212" i="39" s="1"/>
  <c r="D156" i="40" s="1"/>
  <c r="D195" i="38"/>
  <c r="D213" i="39" s="1"/>
  <c r="D157" i="40" s="1"/>
  <c r="D196" i="38"/>
  <c r="D214" i="39" s="1"/>
  <c r="D158" i="40" s="1"/>
  <c r="D197" i="38"/>
  <c r="D215" i="39" s="1"/>
  <c r="D159" i="40" s="1"/>
  <c r="D198" i="38"/>
  <c r="D216" i="39" s="1"/>
  <c r="D160" i="40" s="1"/>
  <c r="D199" i="38"/>
  <c r="D217" i="39" s="1"/>
  <c r="D161" i="40" s="1"/>
  <c r="D218" i="39"/>
  <c r="D162" i="40" s="1"/>
  <c r="D219" i="39"/>
  <c r="D163" i="40" s="1"/>
  <c r="D220" i="39"/>
  <c r="D164" i="40" s="1"/>
  <c r="D221" i="39"/>
  <c r="D165" i="40" s="1"/>
  <c r="D222" i="39"/>
  <c r="D166" i="40" s="1"/>
  <c r="D223" i="39"/>
  <c r="D167" i="40" s="1"/>
  <c r="D206" i="38"/>
  <c r="D224" i="39" s="1"/>
  <c r="D168" i="40" s="1"/>
  <c r="D207" i="38"/>
  <c r="D225" i="39" s="1"/>
  <c r="D169" i="40" s="1"/>
  <c r="D208" i="38"/>
  <c r="D226" i="39" s="1"/>
  <c r="D170" i="40" s="1"/>
  <c r="D209" i="38"/>
  <c r="D227" i="39" s="1"/>
  <c r="D171" i="40" s="1"/>
  <c r="D210" i="38"/>
  <c r="D228" i="39" s="1"/>
  <c r="D172" i="40" s="1"/>
  <c r="D211" i="38"/>
  <c r="D229" i="39" s="1"/>
  <c r="D173" i="40" s="1"/>
  <c r="D212" i="38"/>
  <c r="D230" i="39" s="1"/>
  <c r="D174" i="40" s="1"/>
  <c r="D213" i="38"/>
  <c r="D231" i="39" s="1"/>
  <c r="D175" i="40" s="1"/>
  <c r="D214" i="38"/>
  <c r="D232" i="39" s="1"/>
  <c r="D176" i="40" s="1"/>
  <c r="D215" i="38"/>
  <c r="D233" i="39" s="1"/>
  <c r="D177" i="40" s="1"/>
  <c r="D216" i="38"/>
  <c r="D234" i="39" s="1"/>
  <c r="D178" i="40" s="1"/>
  <c r="D217" i="38"/>
  <c r="D235" i="39" s="1"/>
  <c r="D179" i="40" s="1"/>
  <c r="D218" i="38"/>
  <c r="D236" i="39" s="1"/>
  <c r="D180" i="40" s="1"/>
  <c r="D219" i="38"/>
  <c r="D237" i="39" s="1"/>
  <c r="D181" i="40" s="1"/>
  <c r="D220" i="38"/>
  <c r="D238" i="39" s="1"/>
  <c r="D182" i="40" s="1"/>
  <c r="D221" i="38"/>
  <c r="D239" i="39" s="1"/>
  <c r="D183" i="40" s="1"/>
  <c r="D222" i="38"/>
  <c r="D240" i="39" s="1"/>
  <c r="D184" i="40" s="1"/>
  <c r="D223" i="38"/>
  <c r="D241" i="39" s="1"/>
  <c r="D185" i="40" s="1"/>
  <c r="D224" i="38"/>
  <c r="D242" i="39" s="1"/>
  <c r="D186" i="40" s="1"/>
  <c r="D225" i="38"/>
  <c r="D243" i="39" s="1"/>
  <c r="D187" i="40" s="1"/>
  <c r="D226" i="38"/>
  <c r="D244" i="39" s="1"/>
  <c r="D188" i="40" s="1"/>
  <c r="D227" i="38"/>
  <c r="D245" i="39" s="1"/>
  <c r="D189" i="40" s="1"/>
  <c r="D228" i="38"/>
  <c r="D246" i="39" s="1"/>
  <c r="D190" i="40" s="1"/>
  <c r="D229" i="38"/>
  <c r="D247" i="39" s="1"/>
  <c r="D191" i="40" s="1"/>
  <c r="D230" i="38"/>
  <c r="D248" i="39" s="1"/>
  <c r="D192" i="40" s="1"/>
  <c r="D231" i="38"/>
  <c r="D249" i="39" s="1"/>
  <c r="D193" i="40" s="1"/>
  <c r="D232" i="38"/>
  <c r="D250" i="39" s="1"/>
  <c r="D194" i="40" s="1"/>
  <c r="D233" i="38"/>
  <c r="D251" i="39" s="1"/>
  <c r="D195" i="40" s="1"/>
  <c r="D234" i="38"/>
  <c r="D252" i="39" s="1"/>
  <c r="D196" i="40" s="1"/>
  <c r="D235" i="38"/>
  <c r="D253" i="39" s="1"/>
  <c r="D197" i="40" s="1"/>
  <c r="D236" i="38"/>
  <c r="D254" i="39" s="1"/>
  <c r="D198" i="40" s="1"/>
  <c r="D237" i="38"/>
  <c r="D255" i="39" s="1"/>
  <c r="D199" i="40" s="1"/>
  <c r="D238" i="38"/>
  <c r="D256" i="39" s="1"/>
  <c r="D200" i="40" s="1"/>
  <c r="D239" i="38"/>
  <c r="D257" i="39" s="1"/>
  <c r="D201" i="40" s="1"/>
  <c r="D240" i="38"/>
  <c r="D258" i="39" s="1"/>
  <c r="D202" i="40" s="1"/>
  <c r="D241" i="38"/>
  <c r="D259" i="39" s="1"/>
  <c r="D203" i="40" s="1"/>
  <c r="D242" i="38"/>
  <c r="D260" i="39" s="1"/>
  <c r="D204" i="40" s="1"/>
  <c r="D243" i="38"/>
  <c r="D261" i="39" s="1"/>
  <c r="D205" i="40" s="1"/>
  <c r="D244" i="38"/>
  <c r="D262" i="39" s="1"/>
  <c r="D206" i="40" s="1"/>
  <c r="D245" i="38"/>
  <c r="D263" i="39" s="1"/>
  <c r="D207" i="40" s="1"/>
  <c r="D246" i="38"/>
  <c r="D264" i="39" s="1"/>
  <c r="D208" i="40" s="1"/>
  <c r="D247" i="38"/>
  <c r="D265" i="39" s="1"/>
  <c r="D209" i="40" s="1"/>
  <c r="D248" i="38"/>
  <c r="D266" i="39" s="1"/>
  <c r="D210" i="40" s="1"/>
  <c r="D249" i="38"/>
  <c r="D267" i="39" s="1"/>
  <c r="D211" i="40" s="1"/>
  <c r="D250" i="38"/>
  <c r="D268" i="39" s="1"/>
  <c r="D212" i="40" s="1"/>
  <c r="D251" i="38"/>
  <c r="D269" i="39" s="1"/>
  <c r="D213" i="40" s="1"/>
  <c r="D252" i="38"/>
  <c r="D270" i="39" s="1"/>
  <c r="D214" i="40" s="1"/>
  <c r="D253" i="38"/>
  <c r="D271" i="39" s="1"/>
  <c r="D215" i="40" s="1"/>
  <c r="D254" i="38"/>
  <c r="D272" i="39" s="1"/>
  <c r="D216" i="40" s="1"/>
  <c r="D255" i="38"/>
  <c r="D273" i="39" s="1"/>
  <c r="D217" i="40" s="1"/>
  <c r="D256" i="38"/>
  <c r="D274" i="39" s="1"/>
  <c r="D218" i="40" s="1"/>
  <c r="D257" i="38"/>
  <c r="D275" i="39" s="1"/>
  <c r="D219" i="40" s="1"/>
  <c r="D258" i="38"/>
  <c r="D276" i="39" s="1"/>
  <c r="D220" i="40" s="1"/>
  <c r="D259" i="38"/>
  <c r="D277" i="39" s="1"/>
  <c r="D221" i="40" s="1"/>
  <c r="D260" i="38"/>
  <c r="D278" i="39" s="1"/>
  <c r="D222" i="40" s="1"/>
  <c r="D261" i="38"/>
  <c r="D279" i="39" s="1"/>
  <c r="D223" i="40" s="1"/>
  <c r="D262" i="38"/>
  <c r="D280" i="39" s="1"/>
  <c r="D224" i="40" s="1"/>
  <c r="D263" i="38"/>
  <c r="D281" i="39" s="1"/>
  <c r="D225" i="40" s="1"/>
  <c r="D264" i="38"/>
  <c r="D282" i="39" s="1"/>
  <c r="D226" i="40" s="1"/>
  <c r="D265" i="38"/>
  <c r="D283" i="39" s="1"/>
  <c r="D227" i="40" s="1"/>
  <c r="D266" i="38"/>
  <c r="D284" i="39" s="1"/>
  <c r="D228" i="40" s="1"/>
  <c r="D267" i="38"/>
  <c r="D285" i="39" s="1"/>
  <c r="D229" i="40" s="1"/>
  <c r="D268" i="38"/>
  <c r="D286" i="39" s="1"/>
  <c r="D230" i="40" s="1"/>
  <c r="D269" i="38"/>
  <c r="D287" i="39" s="1"/>
  <c r="D231" i="40" s="1"/>
  <c r="D270" i="38"/>
  <c r="D288" i="39" s="1"/>
  <c r="D232" i="40" s="1"/>
  <c r="D271" i="38"/>
  <c r="D289" i="39" s="1"/>
  <c r="D233" i="40" s="1"/>
  <c r="D272" i="38"/>
  <c r="D290" i="39" s="1"/>
  <c r="D234" i="40" s="1"/>
  <c r="D273" i="38"/>
  <c r="D291" i="39" s="1"/>
  <c r="D235" i="40" s="1"/>
  <c r="D274" i="38"/>
  <c r="D292" i="39" s="1"/>
  <c r="D236" i="40" s="1"/>
  <c r="D275" i="38"/>
  <c r="D293" i="39" s="1"/>
  <c r="D237" i="40" s="1"/>
  <c r="D276" i="38"/>
  <c r="D294" i="39" s="1"/>
  <c r="D238" i="40" s="1"/>
  <c r="D277" i="38"/>
  <c r="D295" i="39" s="1"/>
  <c r="D239" i="40" s="1"/>
  <c r="D278" i="38"/>
  <c r="D296" i="39" s="1"/>
  <c r="D240" i="40" s="1"/>
  <c r="D279" i="38"/>
  <c r="D297" i="39" s="1"/>
  <c r="D241" i="40" s="1"/>
  <c r="D280" i="38"/>
  <c r="D298" i="39" s="1"/>
  <c r="D242" i="40" s="1"/>
  <c r="D281" i="38"/>
  <c r="D299" i="39" s="1"/>
  <c r="D243" i="40" s="1"/>
  <c r="D282" i="38"/>
  <c r="D300" i="39" s="1"/>
  <c r="D244" i="40" s="1"/>
  <c r="D283" i="38"/>
  <c r="D301" i="39" s="1"/>
  <c r="D245" i="40" s="1"/>
  <c r="D284" i="38"/>
  <c r="D302" i="39" s="1"/>
  <c r="D246" i="40" s="1"/>
  <c r="D285" i="38"/>
  <c r="D303" i="39" s="1"/>
  <c r="D247" i="40" s="1"/>
  <c r="D286" i="38"/>
  <c r="D304" i="39" s="1"/>
  <c r="D248" i="40" s="1"/>
  <c r="D287" i="38"/>
  <c r="D305" i="39" s="1"/>
  <c r="D249" i="40" s="1"/>
  <c r="D288" i="38"/>
  <c r="D306" i="39" s="1"/>
  <c r="D250" i="40" s="1"/>
  <c r="D289" i="38"/>
  <c r="D307" i="39" s="1"/>
  <c r="D251" i="40" s="1"/>
  <c r="D290" i="38"/>
  <c r="D308" i="39" s="1"/>
  <c r="D252" i="40" s="1"/>
  <c r="D291" i="38"/>
  <c r="D309" i="39" s="1"/>
  <c r="D253" i="40" s="1"/>
  <c r="D292" i="38"/>
  <c r="D310" i="39" s="1"/>
  <c r="D254" i="40" s="1"/>
  <c r="D293" i="38"/>
  <c r="D311" i="39" s="1"/>
  <c r="D255" i="40" s="1"/>
  <c r="D294" i="38"/>
  <c r="D312" i="39" s="1"/>
  <c r="D256" i="40" s="1"/>
  <c r="D295" i="38"/>
  <c r="D313" i="39" s="1"/>
  <c r="D257" i="40" s="1"/>
  <c r="D296" i="38"/>
  <c r="D314" i="39" s="1"/>
  <c r="D258" i="40" s="1"/>
  <c r="D297" i="38"/>
  <c r="D315" i="39" s="1"/>
  <c r="D259" i="40" s="1"/>
  <c r="D298" i="38"/>
  <c r="D316" i="39" s="1"/>
  <c r="D260" i="40" s="1"/>
  <c r="D299" i="38"/>
  <c r="D317" i="39" s="1"/>
  <c r="D261" i="40" s="1"/>
  <c r="D300" i="38"/>
  <c r="D318" i="39" s="1"/>
  <c r="D262" i="40" s="1"/>
  <c r="D301" i="38"/>
  <c r="D319" i="39" s="1"/>
  <c r="D263" i="40" s="1"/>
  <c r="D302" i="38"/>
  <c r="D320" i="39" s="1"/>
  <c r="D264" i="40" s="1"/>
  <c r="D303" i="38"/>
  <c r="D321" i="39" s="1"/>
  <c r="D265" i="40" s="1"/>
  <c r="D304" i="38"/>
  <c r="D322" i="39" s="1"/>
  <c r="D266" i="40" s="1"/>
  <c r="D305" i="38"/>
  <c r="D323" i="39" s="1"/>
  <c r="D267" i="40" s="1"/>
  <c r="D306" i="38"/>
  <c r="D324" i="39" s="1"/>
  <c r="D268" i="40" s="1"/>
  <c r="D307" i="38"/>
  <c r="D325" i="39" s="1"/>
  <c r="D269" i="40" s="1"/>
  <c r="D308" i="38"/>
  <c r="D326" i="39" s="1"/>
  <c r="D270" i="40" s="1"/>
  <c r="D309" i="38"/>
  <c r="D327" i="39" s="1"/>
  <c r="D271" i="40" s="1"/>
  <c r="D310" i="38"/>
  <c r="D328" i="39" s="1"/>
  <c r="D272" i="40" s="1"/>
  <c r="D311" i="38"/>
  <c r="D329" i="39" s="1"/>
  <c r="D273" i="40" s="1"/>
  <c r="D312" i="38"/>
  <c r="D330" i="39" s="1"/>
  <c r="D274" i="40" s="1"/>
  <c r="D313" i="38"/>
  <c r="D331" i="39" s="1"/>
  <c r="D275" i="40" s="1"/>
  <c r="D314" i="38"/>
  <c r="D332" i="39" s="1"/>
  <c r="D276" i="40" s="1"/>
  <c r="D315" i="38"/>
  <c r="D333" i="39" s="1"/>
  <c r="D277" i="40" s="1"/>
  <c r="D316" i="38"/>
  <c r="D334" i="39" s="1"/>
  <c r="D278" i="40" s="1"/>
  <c r="D317" i="38"/>
  <c r="D335" i="39" s="1"/>
  <c r="D279" i="40" s="1"/>
  <c r="D318" i="38"/>
  <c r="D336" i="39" s="1"/>
  <c r="D280" i="40" s="1"/>
  <c r="D319" i="38"/>
  <c r="D337" i="39" s="1"/>
  <c r="D281" i="40" s="1"/>
  <c r="D320" i="38"/>
  <c r="D338" i="39" s="1"/>
  <c r="D282" i="40" s="1"/>
  <c r="D321" i="38"/>
  <c r="D339" i="39" s="1"/>
  <c r="D283" i="40" s="1"/>
  <c r="D322" i="38"/>
  <c r="D340" i="39" s="1"/>
  <c r="D284" i="40" s="1"/>
  <c r="D323" i="38"/>
  <c r="D341" i="39" s="1"/>
  <c r="D285" i="40" s="1"/>
  <c r="D324" i="38"/>
  <c r="D342" i="39" s="1"/>
  <c r="D286" i="40" s="1"/>
  <c r="D325" i="38"/>
  <c r="D343" i="39" s="1"/>
  <c r="D287" i="40" s="1"/>
  <c r="D326" i="38"/>
  <c r="D344" i="39" s="1"/>
  <c r="D288" i="40" s="1"/>
  <c r="D327" i="38"/>
  <c r="D345" i="39" s="1"/>
  <c r="D289" i="40" s="1"/>
  <c r="D328" i="38"/>
  <c r="D346" i="39" s="1"/>
  <c r="D290" i="40" s="1"/>
  <c r="D329" i="38"/>
  <c r="D347" i="39" s="1"/>
  <c r="D291" i="40" s="1"/>
  <c r="D330" i="38"/>
  <c r="D348" i="39" s="1"/>
  <c r="D292" i="40" s="1"/>
  <c r="D331" i="38"/>
  <c r="D349" i="39" s="1"/>
  <c r="D293" i="40" s="1"/>
  <c r="D332" i="38"/>
  <c r="D350" i="39" s="1"/>
  <c r="D294" i="40" s="1"/>
  <c r="D333" i="38"/>
  <c r="D351" i="39" s="1"/>
  <c r="D295" i="40" s="1"/>
  <c r="D334" i="38"/>
  <c r="D352" i="39" s="1"/>
  <c r="D296" i="40" s="1"/>
  <c r="D335" i="38"/>
  <c r="D353" i="39" s="1"/>
  <c r="D297" i="40" s="1"/>
  <c r="D336" i="38"/>
  <c r="D354" i="39" s="1"/>
  <c r="D298" i="40" s="1"/>
  <c r="D337" i="38"/>
  <c r="D355" i="39" s="1"/>
  <c r="D299" i="40" s="1"/>
  <c r="D338" i="38"/>
  <c r="D356" i="39" s="1"/>
  <c r="D300" i="40" s="1"/>
  <c r="D339" i="38"/>
  <c r="D357" i="39" s="1"/>
  <c r="D301" i="40" s="1"/>
  <c r="D340" i="38"/>
  <c r="D358" i="39" s="1"/>
  <c r="D302" i="40" s="1"/>
  <c r="D341" i="38"/>
  <c r="D359" i="39" s="1"/>
  <c r="D303" i="40" s="1"/>
  <c r="D342" i="38"/>
  <c r="D360" i="39" s="1"/>
  <c r="D304" i="40" s="1"/>
  <c r="D343" i="38"/>
  <c r="D361" i="39" s="1"/>
  <c r="D305" i="40" s="1"/>
  <c r="D344" i="38"/>
  <c r="D362" i="39" s="1"/>
  <c r="D306" i="40" s="1"/>
  <c r="D345" i="38"/>
  <c r="D363" i="39" s="1"/>
  <c r="D307" i="40" s="1"/>
  <c r="D346" i="38"/>
  <c r="D364" i="39" s="1"/>
  <c r="D308" i="40" s="1"/>
  <c r="D347" i="38"/>
  <c r="D365" i="39" s="1"/>
  <c r="D309" i="40" s="1"/>
  <c r="D348" i="38"/>
  <c r="D366" i="39" s="1"/>
  <c r="D310" i="40" s="1"/>
  <c r="D349" i="38"/>
  <c r="D367" i="39" s="1"/>
  <c r="D311" i="40" s="1"/>
  <c r="D350" i="38"/>
  <c r="D368" i="39" s="1"/>
  <c r="D312" i="40" s="1"/>
  <c r="D351" i="38"/>
  <c r="D369" i="39" s="1"/>
  <c r="D313" i="40" s="1"/>
  <c r="D352" i="38"/>
  <c r="D370" i="39" s="1"/>
  <c r="D314" i="40" s="1"/>
  <c r="D353" i="38"/>
  <c r="D371" i="39" s="1"/>
  <c r="D315" i="40" s="1"/>
  <c r="D354" i="38"/>
  <c r="D372" i="39" s="1"/>
  <c r="D316" i="40" s="1"/>
  <c r="D355" i="38"/>
  <c r="D373" i="39" s="1"/>
  <c r="D317" i="40" s="1"/>
  <c r="D356" i="38"/>
  <c r="D374" i="39" s="1"/>
  <c r="D318" i="40" s="1"/>
  <c r="D357" i="38"/>
  <c r="D375" i="39" s="1"/>
  <c r="D319" i="40" s="1"/>
  <c r="D358" i="38"/>
  <c r="D376" i="39" s="1"/>
  <c r="D320" i="40" s="1"/>
  <c r="D359" i="38"/>
  <c r="D377" i="39" s="1"/>
  <c r="D321" i="40" s="1"/>
  <c r="D360" i="38"/>
  <c r="D378" i="39" s="1"/>
  <c r="D322" i="40" s="1"/>
  <c r="D361" i="38"/>
  <c r="D379" i="39" s="1"/>
  <c r="D323" i="40" s="1"/>
  <c r="D362" i="38"/>
  <c r="D380" i="39" s="1"/>
  <c r="D324" i="40" s="1"/>
  <c r="D363" i="38"/>
  <c r="C165" i="38"/>
  <c r="C183" i="39" s="1"/>
  <c r="C127" i="40" s="1"/>
  <c r="C167" i="38"/>
  <c r="C185" i="39" s="1"/>
  <c r="C129" i="40" s="1"/>
  <c r="C168" i="38"/>
  <c r="C186" i="39" s="1"/>
  <c r="C130" i="40" s="1"/>
  <c r="C169" i="38"/>
  <c r="C187" i="39" s="1"/>
  <c r="C131" i="40" s="1"/>
  <c r="C170" i="38"/>
  <c r="C188" i="39" s="1"/>
  <c r="C132" i="40" s="1"/>
  <c r="C171" i="38"/>
  <c r="C189" i="39" s="1"/>
  <c r="C133" i="40" s="1"/>
  <c r="C172" i="38"/>
  <c r="C190" i="39" s="1"/>
  <c r="C134" i="40" s="1"/>
  <c r="C173" i="38"/>
  <c r="C191" i="39" s="1"/>
  <c r="C135" i="40" s="1"/>
  <c r="C174" i="38"/>
  <c r="C192" i="39" s="1"/>
  <c r="C136" i="40" s="1"/>
  <c r="C177" i="38"/>
  <c r="C195" i="39" s="1"/>
  <c r="C139" i="40" s="1"/>
  <c r="C178" i="38"/>
  <c r="C196" i="39" s="1"/>
  <c r="C140" i="40" s="1"/>
  <c r="C179" i="38"/>
  <c r="C197" i="39" s="1"/>
  <c r="C141" i="40" s="1"/>
  <c r="C180" i="38"/>
  <c r="C198" i="39" s="1"/>
  <c r="C142" i="40" s="1"/>
  <c r="C181" i="38"/>
  <c r="C199" i="39" s="1"/>
  <c r="C143" i="40" s="1"/>
  <c r="C182" i="38"/>
  <c r="C200" i="39" s="1"/>
  <c r="C144" i="40" s="1"/>
  <c r="C183" i="38"/>
  <c r="C201" i="39" s="1"/>
  <c r="C145" i="40" s="1"/>
  <c r="C106" i="38"/>
  <c r="C107" i="38"/>
  <c r="C108" i="38"/>
  <c r="C109" i="38"/>
  <c r="C105" i="38"/>
  <c r="C103" i="38"/>
  <c r="C124" i="39" s="1"/>
  <c r="C70" i="40" s="1"/>
  <c r="C147" i="39" l="1"/>
  <c r="D152" i="39"/>
  <c r="D150" i="39"/>
  <c r="D148" i="39"/>
  <c r="D151" i="39"/>
  <c r="D153" i="39"/>
  <c r="D149" i="39"/>
  <c r="D381" i="39"/>
  <c r="D325" i="40" s="1"/>
  <c r="B308" i="14"/>
  <c r="B309" i="14"/>
  <c r="C185" i="38" l="1"/>
  <c r="C203" i="39" s="1"/>
  <c r="C147" i="40" s="1"/>
  <c r="C186" i="38"/>
  <c r="C204" i="39" s="1"/>
  <c r="C148" i="40" s="1"/>
  <c r="C187" i="38"/>
  <c r="C205" i="39" s="1"/>
  <c r="C149" i="40" s="1"/>
  <c r="C188" i="38"/>
  <c r="C206" i="39" s="1"/>
  <c r="C150" i="40" s="1"/>
  <c r="C189" i="38"/>
  <c r="C207" i="39" s="1"/>
  <c r="C151" i="40" s="1"/>
  <c r="C190" i="38"/>
  <c r="C208" i="39" s="1"/>
  <c r="C152" i="40" s="1"/>
  <c r="C191" i="38"/>
  <c r="C209" i="39" s="1"/>
  <c r="C153" i="40" s="1"/>
  <c r="C192" i="38"/>
  <c r="C210" i="39" s="1"/>
  <c r="C154" i="40" s="1"/>
  <c r="C193" i="38"/>
  <c r="C211" i="39" s="1"/>
  <c r="C155" i="40" s="1"/>
  <c r="C194" i="38"/>
  <c r="C212" i="39" s="1"/>
  <c r="C156" i="40" s="1"/>
  <c r="C195" i="38"/>
  <c r="C213" i="39" s="1"/>
  <c r="C157" i="40" s="1"/>
  <c r="C196" i="38"/>
  <c r="C214" i="39" s="1"/>
  <c r="C158" i="40" s="1"/>
  <c r="C197" i="38"/>
  <c r="C215" i="39" s="1"/>
  <c r="C159" i="40" s="1"/>
  <c r="C198" i="38"/>
  <c r="C216" i="39" s="1"/>
  <c r="C160" i="40" s="1"/>
  <c r="C199" i="38"/>
  <c r="C217" i="39" s="1"/>
  <c r="C161" i="40" s="1"/>
  <c r="C218" i="39"/>
  <c r="C162" i="40" s="1"/>
  <c r="C219" i="39"/>
  <c r="C163" i="40" s="1"/>
  <c r="C220" i="39"/>
  <c r="C164" i="40" s="1"/>
  <c r="C221" i="39"/>
  <c r="C165" i="40" s="1"/>
  <c r="C222" i="39"/>
  <c r="C166" i="40" s="1"/>
  <c r="C223" i="39"/>
  <c r="C167" i="40" s="1"/>
  <c r="C224" i="39"/>
  <c r="C168" i="40" s="1"/>
  <c r="C225" i="39"/>
  <c r="C169" i="40" s="1"/>
  <c r="C226" i="39"/>
  <c r="C170" i="40" s="1"/>
  <c r="C227" i="39"/>
  <c r="C171" i="40" s="1"/>
  <c r="C228" i="39"/>
  <c r="C172" i="40" s="1"/>
  <c r="C229" i="39"/>
  <c r="C173" i="40" s="1"/>
  <c r="C230" i="39"/>
  <c r="C174" i="40" s="1"/>
  <c r="C231" i="39"/>
  <c r="C175" i="40" s="1"/>
  <c r="C232" i="39"/>
  <c r="C176" i="40" s="1"/>
  <c r="C233" i="39"/>
  <c r="C177" i="40" s="1"/>
  <c r="C234" i="39"/>
  <c r="C178" i="40" s="1"/>
  <c r="C235" i="39"/>
  <c r="C179" i="40" s="1"/>
  <c r="C236" i="39"/>
  <c r="C180" i="40" s="1"/>
  <c r="C237" i="39"/>
  <c r="C181" i="40" s="1"/>
  <c r="C238" i="39"/>
  <c r="C182" i="40" s="1"/>
  <c r="C239" i="39"/>
  <c r="C183" i="40" s="1"/>
  <c r="C240" i="39"/>
  <c r="C184" i="40" s="1"/>
  <c r="C241" i="39"/>
  <c r="C185" i="40" s="1"/>
  <c r="C242" i="39"/>
  <c r="C186" i="40" s="1"/>
  <c r="C243" i="39"/>
  <c r="C187" i="40" s="1"/>
  <c r="C244" i="39"/>
  <c r="C188" i="40" s="1"/>
  <c r="C245" i="39"/>
  <c r="C189" i="40" s="1"/>
  <c r="C246" i="39"/>
  <c r="C190" i="40" s="1"/>
  <c r="C247" i="39"/>
  <c r="C191" i="40" s="1"/>
  <c r="C248" i="39"/>
  <c r="C192" i="40" s="1"/>
  <c r="C249" i="39"/>
  <c r="C193" i="40" s="1"/>
  <c r="C250" i="39"/>
  <c r="C194" i="40" s="1"/>
  <c r="C251" i="39"/>
  <c r="C195" i="40" s="1"/>
  <c r="C252" i="39"/>
  <c r="C196" i="40" s="1"/>
  <c r="C253" i="39"/>
  <c r="C197" i="40" s="1"/>
  <c r="C254" i="39"/>
  <c r="C198" i="40" s="1"/>
  <c r="C255" i="39"/>
  <c r="C199" i="40" s="1"/>
  <c r="C256" i="39"/>
  <c r="C200" i="40" s="1"/>
  <c r="C257" i="39"/>
  <c r="C201" i="40" s="1"/>
  <c r="C258" i="39"/>
  <c r="C202" i="40" s="1"/>
  <c r="C259" i="39"/>
  <c r="C203" i="40" s="1"/>
  <c r="C260" i="39"/>
  <c r="C204" i="40" s="1"/>
  <c r="C261" i="39"/>
  <c r="C205" i="40" s="1"/>
  <c r="C262" i="39"/>
  <c r="C206" i="40" s="1"/>
  <c r="C263" i="39"/>
  <c r="C207" i="40" s="1"/>
  <c r="C264" i="39"/>
  <c r="C208" i="40" s="1"/>
  <c r="C265" i="39"/>
  <c r="C209" i="40" s="1"/>
  <c r="C266" i="39"/>
  <c r="C210" i="40" s="1"/>
  <c r="C267" i="39"/>
  <c r="C211" i="40" s="1"/>
  <c r="C268" i="39"/>
  <c r="C212" i="40" s="1"/>
  <c r="C269" i="39"/>
  <c r="C213" i="40" s="1"/>
  <c r="C270" i="39"/>
  <c r="C214" i="40" s="1"/>
  <c r="C271" i="39"/>
  <c r="C215" i="40" s="1"/>
  <c r="C272" i="39"/>
  <c r="C216" i="40" s="1"/>
  <c r="C273" i="39"/>
  <c r="C217" i="40" s="1"/>
  <c r="C274" i="39"/>
  <c r="C218" i="40" s="1"/>
  <c r="C275" i="39"/>
  <c r="C219" i="40" s="1"/>
  <c r="C276" i="39"/>
  <c r="C220" i="40" s="1"/>
  <c r="C277" i="39"/>
  <c r="C221" i="40" s="1"/>
  <c r="C278" i="39"/>
  <c r="C222" i="40" s="1"/>
  <c r="C279" i="39"/>
  <c r="C223" i="40" s="1"/>
  <c r="C280" i="39"/>
  <c r="C224" i="40" s="1"/>
  <c r="C281" i="39"/>
  <c r="C225" i="40" s="1"/>
  <c r="C282" i="39"/>
  <c r="C226" i="40" s="1"/>
  <c r="C283" i="39"/>
  <c r="C227" i="40" s="1"/>
  <c r="C284" i="39"/>
  <c r="C228" i="40" s="1"/>
  <c r="C285" i="39"/>
  <c r="C229" i="40" s="1"/>
  <c r="C286" i="39"/>
  <c r="C230" i="40" s="1"/>
  <c r="C287" i="39"/>
  <c r="C231" i="40" s="1"/>
  <c r="C288" i="39"/>
  <c r="C232" i="40" s="1"/>
  <c r="C289" i="39"/>
  <c r="C233" i="40" s="1"/>
  <c r="C290" i="39"/>
  <c r="C234" i="40" s="1"/>
  <c r="C291" i="39"/>
  <c r="C235" i="40" s="1"/>
  <c r="C292" i="39"/>
  <c r="C236" i="40" s="1"/>
  <c r="C293" i="39"/>
  <c r="C237" i="40" s="1"/>
  <c r="C294" i="39"/>
  <c r="C238" i="40" s="1"/>
  <c r="C295" i="39"/>
  <c r="C239" i="40" s="1"/>
  <c r="C296" i="39"/>
  <c r="C240" i="40" s="1"/>
  <c r="C297" i="39"/>
  <c r="C241" i="40" s="1"/>
  <c r="C298" i="39"/>
  <c r="C242" i="40" s="1"/>
  <c r="C299" i="39"/>
  <c r="C243" i="40" s="1"/>
  <c r="C300" i="39"/>
  <c r="C244" i="40" s="1"/>
  <c r="C301" i="39"/>
  <c r="C245" i="40" s="1"/>
  <c r="C302" i="39"/>
  <c r="C246" i="40" s="1"/>
  <c r="C303" i="39"/>
  <c r="C247" i="40" s="1"/>
  <c r="C304" i="39"/>
  <c r="C248" i="40" s="1"/>
  <c r="C305" i="39"/>
  <c r="C249" i="40" s="1"/>
  <c r="C306" i="39"/>
  <c r="C250" i="40" s="1"/>
  <c r="C307" i="39"/>
  <c r="C251" i="40" s="1"/>
  <c r="C308" i="39"/>
  <c r="C252" i="40" s="1"/>
  <c r="C309" i="39"/>
  <c r="C253" i="40" s="1"/>
  <c r="C310" i="39"/>
  <c r="C254" i="40" s="1"/>
  <c r="C311" i="39"/>
  <c r="C255" i="40" s="1"/>
  <c r="C312" i="39"/>
  <c r="C256" i="40" s="1"/>
  <c r="C313" i="39"/>
  <c r="C257" i="40" s="1"/>
  <c r="C314" i="39"/>
  <c r="C258" i="40" s="1"/>
  <c r="C315" i="39"/>
  <c r="C259" i="40" s="1"/>
  <c r="C316" i="39"/>
  <c r="C260" i="40" s="1"/>
  <c r="C317" i="39"/>
  <c r="C261" i="40" s="1"/>
  <c r="C318" i="39"/>
  <c r="C262" i="40" s="1"/>
  <c r="C319" i="39"/>
  <c r="C263" i="40" s="1"/>
  <c r="C320" i="39"/>
  <c r="C264" i="40" s="1"/>
  <c r="C321" i="39"/>
  <c r="C265" i="40" s="1"/>
  <c r="C184" i="38"/>
  <c r="C202" i="39" s="1"/>
  <c r="C146" i="40" s="1"/>
  <c r="C73" i="40"/>
  <c r="C74" i="40"/>
  <c r="C75" i="40"/>
  <c r="C76" i="40"/>
  <c r="C77" i="40"/>
  <c r="C72" i="40"/>
  <c r="C127" i="39"/>
  <c r="C128" i="39"/>
  <c r="C129" i="39"/>
  <c r="C130" i="39"/>
  <c r="C131" i="39"/>
  <c r="C126" i="39"/>
  <c r="D103" i="38" l="1"/>
  <c r="D124" i="39" s="1"/>
  <c r="D70" i="40" s="1"/>
  <c r="C351" i="39"/>
  <c r="C295" i="40" s="1"/>
  <c r="C349" i="39"/>
  <c r="C293" i="40" s="1"/>
  <c r="C347" i="39"/>
  <c r="C291" i="40" s="1"/>
  <c r="C345" i="39"/>
  <c r="C289" i="40" s="1"/>
  <c r="C343" i="39"/>
  <c r="C287" i="40" s="1"/>
  <c r="C341" i="39"/>
  <c r="C285" i="40" s="1"/>
  <c r="C339" i="39"/>
  <c r="C283" i="40" s="1"/>
  <c r="C337" i="39"/>
  <c r="C281" i="40" s="1"/>
  <c r="C335" i="39"/>
  <c r="C279" i="40" s="1"/>
  <c r="C333" i="39"/>
  <c r="C277" i="40" s="1"/>
  <c r="C331" i="39"/>
  <c r="C275" i="40" s="1"/>
  <c r="C329" i="39"/>
  <c r="C273" i="40" s="1"/>
  <c r="C327" i="39"/>
  <c r="C271" i="40" s="1"/>
  <c r="C325" i="39"/>
  <c r="C269" i="40" s="1"/>
  <c r="C323" i="39"/>
  <c r="C267" i="40" s="1"/>
  <c r="C350" i="39"/>
  <c r="C294" i="40" s="1"/>
  <c r="C348" i="39"/>
  <c r="C292" i="40" s="1"/>
  <c r="C346" i="39"/>
  <c r="C290" i="40" s="1"/>
  <c r="C344" i="39"/>
  <c r="C288" i="40" s="1"/>
  <c r="C342" i="39"/>
  <c r="C286" i="40" s="1"/>
  <c r="C340" i="39"/>
  <c r="C284" i="40" s="1"/>
  <c r="C338" i="39"/>
  <c r="C282" i="40" s="1"/>
  <c r="C336" i="39"/>
  <c r="C280" i="40" s="1"/>
  <c r="C334" i="39"/>
  <c r="C278" i="40" s="1"/>
  <c r="C332" i="39"/>
  <c r="C276" i="40" s="1"/>
  <c r="C330" i="39"/>
  <c r="C274" i="40" s="1"/>
  <c r="C328" i="39"/>
  <c r="C272" i="40" s="1"/>
  <c r="C326" i="39"/>
  <c r="C270" i="40" s="1"/>
  <c r="C324" i="39"/>
  <c r="C268" i="40" s="1"/>
  <c r="C322" i="39"/>
  <c r="C266" i="40" s="1"/>
  <c r="C146" i="39" l="1"/>
  <c r="C168" i="39"/>
  <c r="D99" i="38"/>
  <c r="D120" i="39" s="1"/>
  <c r="D66" i="40" s="1"/>
  <c r="D100" i="38"/>
  <c r="D121" i="39" s="1"/>
  <c r="D67" i="40" s="1"/>
  <c r="D101" i="38"/>
  <c r="D122" i="39" s="1"/>
  <c r="D68" i="40" s="1"/>
  <c r="D102" i="38"/>
  <c r="D123" i="39" s="1"/>
  <c r="D69" i="40" s="1"/>
  <c r="D98" i="38"/>
  <c r="D119" i="39" s="1"/>
  <c r="D65" i="40" s="1"/>
  <c r="C99" i="38"/>
  <c r="C120" i="39" s="1"/>
  <c r="C66" i="40" s="1"/>
  <c r="C100" i="38"/>
  <c r="C121" i="39" s="1"/>
  <c r="C67" i="40" s="1"/>
  <c r="C101" i="38"/>
  <c r="C122" i="39" s="1"/>
  <c r="C68" i="40" s="1"/>
  <c r="C102" i="38"/>
  <c r="C123" i="39" s="1"/>
  <c r="C69" i="40" s="1"/>
  <c r="C98" i="38"/>
  <c r="C119" i="39" s="1"/>
  <c r="C65" i="40" s="1"/>
  <c r="C111" i="39"/>
  <c r="A233" i="14"/>
  <c r="A232" i="14"/>
  <c r="A231" i="14"/>
  <c r="A230" i="14"/>
  <c r="A229" i="14"/>
  <c r="C156" i="15"/>
  <c r="D156" i="15"/>
  <c r="E156" i="15"/>
  <c r="C209" i="14"/>
  <c r="D209" i="14"/>
  <c r="E209" i="14"/>
  <c r="F49" i="15"/>
  <c r="F50" i="15"/>
  <c r="F51" i="15"/>
  <c r="D49" i="15"/>
  <c r="D165" i="15" s="1"/>
  <c r="D50" i="15"/>
  <c r="D166" i="15" s="1"/>
  <c r="D51" i="15"/>
  <c r="D48" i="15"/>
  <c r="D164" i="15" s="1"/>
  <c r="A51" i="15"/>
  <c r="A50" i="15"/>
  <c r="A166" i="15" s="1"/>
  <c r="A49" i="15"/>
  <c r="A165" i="15" s="1"/>
  <c r="A48" i="15"/>
  <c r="A164" i="15" s="1"/>
  <c r="F47" i="14"/>
  <c r="F48" i="14"/>
  <c r="F49" i="14"/>
  <c r="D47" i="14"/>
  <c r="D221" i="14" s="1"/>
  <c r="D48" i="14"/>
  <c r="D222" i="14" s="1"/>
  <c r="D49" i="14"/>
  <c r="D46" i="14"/>
  <c r="D220" i="14" s="1"/>
  <c r="A49" i="14"/>
  <c r="A48" i="14"/>
  <c r="A222" i="14" s="1"/>
  <c r="A47" i="14"/>
  <c r="A221" i="14" s="1"/>
  <c r="A46" i="14"/>
  <c r="A220" i="14" s="1"/>
  <c r="F202" i="31"/>
  <c r="F203" i="31"/>
  <c r="G203" i="31" s="1"/>
  <c r="D202" i="31"/>
  <c r="D203" i="31"/>
  <c r="D201" i="31"/>
  <c r="A203" i="31"/>
  <c r="A202" i="31"/>
  <c r="A201" i="31"/>
  <c r="D111" i="15"/>
  <c r="A111" i="15"/>
  <c r="D9" i="15"/>
  <c r="D9" i="14"/>
  <c r="F14" i="31"/>
  <c r="C123" i="38" l="1"/>
  <c r="C15" i="37"/>
  <c r="D163" i="38" l="1"/>
  <c r="D181" i="39" s="1"/>
  <c r="D125" i="40" s="1"/>
  <c r="C163" i="38"/>
  <c r="C181" i="39" s="1"/>
  <c r="C125" i="40" s="1"/>
  <c r="F157" i="15" l="1"/>
  <c r="E173" i="31" l="1"/>
  <c r="E174" i="31"/>
  <c r="E179" i="14"/>
  <c r="E178" i="14"/>
  <c r="E135" i="15"/>
  <c r="F135" i="15" s="1"/>
  <c r="E136" i="15"/>
  <c r="F136" i="15" s="1"/>
  <c r="E137" i="15"/>
  <c r="F137" i="15" s="1"/>
  <c r="F138" i="15" l="1"/>
  <c r="I23" i="37"/>
  <c r="E172" i="31"/>
  <c r="E177" i="14"/>
  <c r="F13" i="14" l="1"/>
  <c r="F32" i="14"/>
  <c r="F33" i="14"/>
  <c r="F186" i="14"/>
  <c r="F187" i="14"/>
  <c r="F188" i="14"/>
  <c r="F189" i="14"/>
  <c r="F190" i="14"/>
  <c r="F34" i="14" l="1"/>
  <c r="F191" i="14"/>
  <c r="D41" i="15" l="1"/>
  <c r="E40" i="15"/>
  <c r="D41" i="14"/>
  <c r="E40" i="14"/>
  <c r="E43" i="31"/>
  <c r="B43" i="31"/>
  <c r="E41" i="14" l="1"/>
  <c r="F43" i="31"/>
  <c r="E41" i="15"/>
  <c r="E44" i="31"/>
  <c r="D44" i="31"/>
  <c r="B44" i="31"/>
  <c r="F33" i="15"/>
  <c r="G33" i="15" s="1"/>
  <c r="F32" i="15"/>
  <c r="G32" i="15" s="1"/>
  <c r="E32" i="15"/>
  <c r="G188" i="14"/>
  <c r="G187" i="14"/>
  <c r="B190" i="14"/>
  <c r="B189" i="14"/>
  <c r="B188" i="14"/>
  <c r="B187" i="14"/>
  <c r="E191" i="14"/>
  <c r="D191" i="14"/>
  <c r="G190" i="14"/>
  <c r="G189" i="14"/>
  <c r="F35" i="31"/>
  <c r="F34" i="31"/>
  <c r="B33" i="14"/>
  <c r="G32" i="14"/>
  <c r="E32" i="14"/>
  <c r="B35" i="31"/>
  <c r="B36" i="31" s="1"/>
  <c r="E34" i="31"/>
  <c r="G34" i="15" l="1"/>
  <c r="D33" i="15"/>
  <c r="E33" i="15" s="1"/>
  <c r="E34" i="15" s="1"/>
  <c r="D33" i="14"/>
  <c r="E33" i="14" s="1"/>
  <c r="E34" i="14" s="1"/>
  <c r="B40" i="14"/>
  <c r="F40" i="14" s="1"/>
  <c r="D35" i="31"/>
  <c r="E35" i="31" s="1"/>
  <c r="E36" i="31" s="1"/>
  <c r="H32" i="15"/>
  <c r="H33" i="15"/>
  <c r="F34" i="15"/>
  <c r="H187" i="14"/>
  <c r="H188" i="14"/>
  <c r="H189" i="14"/>
  <c r="H190" i="14"/>
  <c r="G186" i="14"/>
  <c r="G191" i="14" s="1"/>
  <c r="B34" i="14"/>
  <c r="H32" i="14"/>
  <c r="G34" i="31"/>
  <c r="D36" i="31" l="1"/>
  <c r="D34" i="15"/>
  <c r="D34" i="14"/>
  <c r="F40" i="15"/>
  <c r="B41" i="14"/>
  <c r="H186" i="14"/>
  <c r="G33" i="14"/>
  <c r="G34" i="14" s="1"/>
  <c r="G35" i="31"/>
  <c r="G36" i="31" s="1"/>
  <c r="H34" i="31"/>
  <c r="F36" i="31"/>
  <c r="H33" i="14" l="1"/>
  <c r="H35" i="31"/>
  <c r="D1" i="40" l="1"/>
  <c r="D1" i="39"/>
  <c r="C121" i="40" l="1"/>
  <c r="C115" i="40"/>
  <c r="C108" i="40"/>
  <c r="C107" i="40"/>
  <c r="C106" i="40"/>
  <c r="C105" i="40"/>
  <c r="C104" i="40"/>
  <c r="C103" i="40"/>
  <c r="C102" i="40"/>
  <c r="C160" i="39"/>
  <c r="C161" i="39"/>
  <c r="C162" i="39"/>
  <c r="C163" i="39"/>
  <c r="C164" i="39"/>
  <c r="C165" i="39"/>
  <c r="C166" i="39"/>
  <c r="C173" i="39"/>
  <c r="C179" i="39"/>
  <c r="C159" i="38" l="1"/>
  <c r="C152" i="38"/>
  <c r="C145" i="38" l="1"/>
  <c r="C144" i="38"/>
  <c r="C143" i="38"/>
  <c r="C142" i="38"/>
  <c r="C141" i="38"/>
  <c r="C140" i="38"/>
  <c r="C139" i="38"/>
  <c r="D25" i="14" l="1"/>
  <c r="E25" i="14" l="1"/>
  <c r="E26" i="31" s="1"/>
  <c r="D26" i="31"/>
  <c r="E9" i="39"/>
  <c r="B18" i="37" l="1"/>
  <c r="B10" i="37"/>
  <c r="C8" i="37"/>
  <c r="B3" i="37"/>
  <c r="D25" i="15"/>
  <c r="E25" i="15" s="1"/>
  <c r="G25" i="15" l="1"/>
  <c r="I25" i="15" s="1"/>
  <c r="E9" i="40"/>
  <c r="A25" i="31"/>
  <c r="D13" i="31"/>
  <c r="D11" i="31"/>
  <c r="D24" i="15"/>
  <c r="E24" i="15" s="1"/>
  <c r="A24" i="15"/>
  <c r="D24" i="14"/>
  <c r="B13" i="14"/>
  <c r="E24" i="14" l="1"/>
  <c r="E25" i="31" s="1"/>
  <c r="D25" i="31"/>
  <c r="E10" i="39"/>
  <c r="G24" i="14"/>
  <c r="G24" i="15"/>
  <c r="I24" i="15" s="1"/>
  <c r="E10" i="40"/>
  <c r="E10" i="38"/>
  <c r="I24" i="14" l="1"/>
  <c r="I25" i="31" s="1"/>
  <c r="B14" i="31"/>
  <c r="A12" i="31"/>
  <c r="F13" i="15"/>
  <c r="D12" i="15"/>
  <c r="D10" i="15"/>
  <c r="A10" i="15"/>
  <c r="A25" i="15" s="1"/>
  <c r="A2" i="14"/>
  <c r="G25" i="14" l="1"/>
  <c r="I25" i="14" s="1"/>
  <c r="I26" i="31" s="1"/>
  <c r="G26" i="31" l="1"/>
  <c r="E9" i="38"/>
  <c r="I26" i="14"/>
  <c r="A15" i="37" s="1"/>
  <c r="D44" i="15" l="1"/>
  <c r="D49" i="31"/>
  <c r="A26" i="31"/>
  <c r="D43" i="14"/>
  <c r="A22" i="36"/>
  <c r="H20" i="36"/>
  <c r="F20" i="36"/>
  <c r="F21" i="36" s="1"/>
  <c r="C15" i="36"/>
  <c r="C12" i="36"/>
  <c r="B12" i="36"/>
  <c r="A12" i="36"/>
  <c r="C11" i="36"/>
  <c r="B11" i="36"/>
  <c r="A11" i="36"/>
  <c r="C10" i="36"/>
  <c r="B10" i="36"/>
  <c r="A10" i="36"/>
  <c r="C9" i="36"/>
  <c r="B9" i="36"/>
  <c r="A9" i="36"/>
  <c r="C8" i="36"/>
  <c r="B8" i="36"/>
  <c r="A8" i="36"/>
  <c r="C7" i="36"/>
  <c r="B7" i="36"/>
  <c r="A7" i="36"/>
  <c r="C6" i="36"/>
  <c r="B6" i="36"/>
  <c r="A6" i="36"/>
  <c r="C5" i="36"/>
  <c r="B5" i="36"/>
  <c r="A5" i="36"/>
  <c r="E55" i="31" l="1"/>
  <c r="G55" i="31" s="1"/>
  <c r="E54" i="31"/>
  <c r="E53" i="31"/>
  <c r="G54" i="31"/>
  <c r="G53" i="31"/>
  <c r="F154" i="31"/>
  <c r="D160" i="31" s="1"/>
  <c r="D163" i="31"/>
  <c r="I27" i="31"/>
  <c r="A8" i="37" s="1"/>
  <c r="E50" i="15"/>
  <c r="E48" i="15"/>
  <c r="E51" i="15"/>
  <c r="G51" i="15" s="1"/>
  <c r="E49" i="15"/>
  <c r="F160" i="14"/>
  <c r="B178" i="14" s="1"/>
  <c r="E46" i="14"/>
  <c r="E12" i="39" s="1"/>
  <c r="I26" i="15"/>
  <c r="D11" i="36"/>
  <c r="E11" i="36" s="1"/>
  <c r="F11" i="36" s="1"/>
  <c r="G11" i="36" s="1"/>
  <c r="H11" i="36" s="1"/>
  <c r="C23" i="37"/>
  <c r="D5" i="36"/>
  <c r="E5" i="36" s="1"/>
  <c r="D6" i="36"/>
  <c r="E6" i="36" s="1"/>
  <c r="F6" i="36" s="1"/>
  <c r="D8" i="36"/>
  <c r="E8" i="36" s="1"/>
  <c r="F8" i="36" s="1"/>
  <c r="I8" i="36" s="1"/>
  <c r="D7" i="36"/>
  <c r="E7" i="36" s="1"/>
  <c r="F7" i="36" s="1"/>
  <c r="D9" i="36"/>
  <c r="E9" i="36" s="1"/>
  <c r="F9" i="36" s="1"/>
  <c r="I9" i="36" s="1"/>
  <c r="D10" i="36"/>
  <c r="E10" i="36" s="1"/>
  <c r="F10" i="36" s="1"/>
  <c r="F107" i="15"/>
  <c r="I6" i="36"/>
  <c r="G6" i="36"/>
  <c r="H6" i="36" s="1"/>
  <c r="I10" i="36"/>
  <c r="G10" i="36"/>
  <c r="H10" i="36" s="1"/>
  <c r="G7" i="36"/>
  <c r="H7" i="36" s="1"/>
  <c r="I7" i="36"/>
  <c r="B173" i="31" l="1"/>
  <c r="F173" i="31" s="1"/>
  <c r="F178" i="14"/>
  <c r="D162" i="31"/>
  <c r="E150" i="38"/>
  <c r="E163" i="31"/>
  <c r="G163" i="31" s="1"/>
  <c r="E149" i="38"/>
  <c r="E162" i="31"/>
  <c r="G162" i="31" s="1"/>
  <c r="E147" i="38"/>
  <c r="E152" i="38" s="1"/>
  <c r="E160" i="31"/>
  <c r="B179" i="14"/>
  <c r="J23" i="15"/>
  <c r="A23" i="37"/>
  <c r="D161" i="31"/>
  <c r="F194" i="14"/>
  <c r="D169" i="14"/>
  <c r="D168" i="14"/>
  <c r="D167" i="14"/>
  <c r="E167" i="14" s="1"/>
  <c r="D166" i="14"/>
  <c r="E166" i="14" s="1"/>
  <c r="D114" i="15"/>
  <c r="F185" i="31"/>
  <c r="G180" i="31"/>
  <c r="G181" i="31" s="1"/>
  <c r="E49" i="14"/>
  <c r="E47" i="14"/>
  <c r="E13" i="39" s="1"/>
  <c r="E48" i="14"/>
  <c r="E14" i="39" s="1"/>
  <c r="G50" i="15"/>
  <c r="E14" i="40"/>
  <c r="E12" i="40"/>
  <c r="G49" i="15"/>
  <c r="E13" i="40"/>
  <c r="E12" i="38"/>
  <c r="E14" i="38"/>
  <c r="E13" i="38"/>
  <c r="E113" i="15"/>
  <c r="I11" i="36"/>
  <c r="G8" i="36"/>
  <c r="H8" i="36" s="1"/>
  <c r="D12" i="36"/>
  <c r="D15" i="36" s="1"/>
  <c r="G9" i="36"/>
  <c r="H9" i="36" s="1"/>
  <c r="E111" i="15"/>
  <c r="F142" i="15"/>
  <c r="E112" i="15"/>
  <c r="E114" i="15"/>
  <c r="F5" i="36"/>
  <c r="E12" i="36"/>
  <c r="D203" i="14" l="1"/>
  <c r="D202" i="14"/>
  <c r="B174" i="31"/>
  <c r="F174" i="31" s="1"/>
  <c r="F179" i="14"/>
  <c r="D151" i="15"/>
  <c r="D149" i="15"/>
  <c r="F149" i="15" s="1"/>
  <c r="D147" i="15"/>
  <c r="D150" i="15"/>
  <c r="F150" i="15" s="1"/>
  <c r="D148" i="15"/>
  <c r="D146" i="15"/>
  <c r="F146" i="15" s="1"/>
  <c r="D194" i="31"/>
  <c r="D200" i="14"/>
  <c r="E148" i="38"/>
  <c r="E161" i="31"/>
  <c r="G161" i="31" s="1"/>
  <c r="E170" i="39"/>
  <c r="E168" i="14"/>
  <c r="B177" i="14"/>
  <c r="E171" i="39"/>
  <c r="E169" i="14"/>
  <c r="F147" i="15"/>
  <c r="G167" i="14"/>
  <c r="I167" i="14" s="1"/>
  <c r="I161" i="31" s="1"/>
  <c r="E169" i="39"/>
  <c r="G166" i="14"/>
  <c r="I166" i="14" s="1"/>
  <c r="I160" i="31" s="1"/>
  <c r="E168" i="39"/>
  <c r="F148" i="15"/>
  <c r="D198" i="31"/>
  <c r="F203" i="14"/>
  <c r="D201" i="14"/>
  <c r="D192" i="31" s="1"/>
  <c r="F192" i="31" s="1"/>
  <c r="D198" i="14"/>
  <c r="F198" i="14" s="1"/>
  <c r="D199" i="14"/>
  <c r="E120" i="39" s="1"/>
  <c r="D113" i="15"/>
  <c r="E173" i="39"/>
  <c r="D112" i="15"/>
  <c r="G160" i="31"/>
  <c r="E124" i="39"/>
  <c r="E103" i="38"/>
  <c r="E113" i="40"/>
  <c r="E112" i="40"/>
  <c r="E110" i="40"/>
  <c r="E115" i="40" s="1"/>
  <c r="E111" i="40"/>
  <c r="G156" i="15"/>
  <c r="G157" i="15" s="1"/>
  <c r="J45" i="31"/>
  <c r="D216" i="14"/>
  <c r="D160" i="15"/>
  <c r="I5" i="36"/>
  <c r="F12" i="36"/>
  <c r="I12" i="36" s="1"/>
  <c r="G5" i="36"/>
  <c r="G12" i="36" s="1"/>
  <c r="E222" i="14" l="1"/>
  <c r="G222" i="14" s="1"/>
  <c r="E221" i="14"/>
  <c r="E220" i="14"/>
  <c r="B172" i="31"/>
  <c r="F172" i="31" s="1"/>
  <c r="F175" i="31" s="1"/>
  <c r="F177" i="14"/>
  <c r="F180" i="14" s="1"/>
  <c r="F194" i="31"/>
  <c r="F200" i="14"/>
  <c r="D191" i="31"/>
  <c r="F191" i="31" s="1"/>
  <c r="D189" i="31"/>
  <c r="F189" i="31" s="1"/>
  <c r="F202" i="14"/>
  <c r="D193" i="31"/>
  <c r="F193" i="31" s="1"/>
  <c r="F199" i="14"/>
  <c r="D190" i="31"/>
  <c r="F190" i="31" s="1"/>
  <c r="F151" i="15"/>
  <c r="D206" i="31"/>
  <c r="E201" i="31"/>
  <c r="E154" i="38" s="1"/>
  <c r="E119" i="39"/>
  <c r="E123" i="39"/>
  <c r="F201" i="14"/>
  <c r="E122" i="39"/>
  <c r="E117" i="40"/>
  <c r="E176" i="39"/>
  <c r="E175" i="39"/>
  <c r="G168" i="14"/>
  <c r="I168" i="14" s="1"/>
  <c r="I162" i="31" s="1"/>
  <c r="G169" i="14"/>
  <c r="I169" i="14" s="1"/>
  <c r="I163" i="31" s="1"/>
  <c r="E70" i="40"/>
  <c r="E101" i="38"/>
  <c r="E69" i="40"/>
  <c r="E99" i="38"/>
  <c r="E98" i="38"/>
  <c r="E66" i="40"/>
  <c r="E67" i="40"/>
  <c r="E68" i="40"/>
  <c r="G209" i="14"/>
  <c r="G210" i="14" s="1"/>
  <c r="E65" i="40"/>
  <c r="G202" i="31"/>
  <c r="E155" i="38"/>
  <c r="E156" i="38"/>
  <c r="D225" i="14"/>
  <c r="D169" i="15"/>
  <c r="D217" i="31"/>
  <c r="H5" i="36"/>
  <c r="H12" i="36" s="1"/>
  <c r="D230" i="14" l="1"/>
  <c r="G230" i="14" s="1"/>
  <c r="D233" i="14"/>
  <c r="I164" i="31"/>
  <c r="D174" i="15"/>
  <c r="D177" i="15"/>
  <c r="G173" i="15"/>
  <c r="E102" i="38"/>
  <c r="F195" i="31"/>
  <c r="D8" i="37" s="1"/>
  <c r="E100" i="38"/>
  <c r="J46" i="31"/>
  <c r="J47" i="31" s="1"/>
  <c r="J50" i="31" s="1"/>
  <c r="I8" i="37"/>
  <c r="D214" i="31"/>
  <c r="E143" i="38" s="1"/>
  <c r="D210" i="31"/>
  <c r="D211" i="31"/>
  <c r="E140" i="38" s="1"/>
  <c r="D232" i="14"/>
  <c r="D231" i="14"/>
  <c r="D212" i="31" s="1"/>
  <c r="G212" i="31" s="1"/>
  <c r="D176" i="15"/>
  <c r="G176" i="15" s="1"/>
  <c r="D175" i="15"/>
  <c r="G175" i="15" s="1"/>
  <c r="E177" i="39"/>
  <c r="I170" i="14"/>
  <c r="I15" i="37" s="1"/>
  <c r="F152" i="15"/>
  <c r="E144" i="38"/>
  <c r="E145" i="38"/>
  <c r="D236" i="14"/>
  <c r="D244" i="14" s="1"/>
  <c r="J25" i="15"/>
  <c r="E118" i="40"/>
  <c r="E119" i="40"/>
  <c r="D180" i="15"/>
  <c r="D226" i="31"/>
  <c r="D222" i="31"/>
  <c r="D269" i="14" l="1"/>
  <c r="D251" i="31" s="1"/>
  <c r="D268" i="14"/>
  <c r="D267" i="14"/>
  <c r="D264" i="14"/>
  <c r="D263" i="14"/>
  <c r="D261" i="14"/>
  <c r="D260" i="14"/>
  <c r="D257" i="14"/>
  <c r="D256" i="14"/>
  <c r="D253" i="14"/>
  <c r="D250" i="31"/>
  <c r="D266" i="14"/>
  <c r="D248" i="31" s="1"/>
  <c r="D265" i="14"/>
  <c r="D247" i="31" s="1"/>
  <c r="D246" i="31"/>
  <c r="D245" i="31"/>
  <c r="D262" i="14"/>
  <c r="D244" i="31" s="1"/>
  <c r="D243" i="31"/>
  <c r="D242" i="31"/>
  <c r="D259" i="14"/>
  <c r="D241" i="31" s="1"/>
  <c r="D258" i="14"/>
  <c r="D240" i="31" s="1"/>
  <c r="D239" i="31"/>
  <c r="D238" i="31"/>
  <c r="D255" i="14"/>
  <c r="D237" i="31" s="1"/>
  <c r="D254" i="14"/>
  <c r="D236" i="31" s="1"/>
  <c r="D235" i="31"/>
  <c r="D252" i="14"/>
  <c r="D234" i="31" s="1"/>
  <c r="D251" i="14"/>
  <c r="D233" i="31" s="1"/>
  <c r="D250" i="14"/>
  <c r="D232" i="31" s="1"/>
  <c r="D249" i="14"/>
  <c r="D231" i="31" s="1"/>
  <c r="F231" i="31" s="1"/>
  <c r="D248" i="14"/>
  <c r="D230" i="31" s="1"/>
  <c r="F230" i="31" s="1"/>
  <c r="D213" i="31"/>
  <c r="G213" i="31" s="1"/>
  <c r="G232" i="14"/>
  <c r="E102" i="40"/>
  <c r="G214" i="31"/>
  <c r="E141" i="38"/>
  <c r="G211" i="31"/>
  <c r="E142" i="38"/>
  <c r="G210" i="31"/>
  <c r="G215" i="31" s="1"/>
  <c r="G8" i="37" s="1"/>
  <c r="E139" i="38"/>
  <c r="E126" i="38"/>
  <c r="E120" i="38"/>
  <c r="E118" i="38"/>
  <c r="E116" i="38"/>
  <c r="E114" i="38"/>
  <c r="E112" i="38"/>
  <c r="F233" i="31"/>
  <c r="E125" i="38"/>
  <c r="E121" i="38"/>
  <c r="E119" i="38"/>
  <c r="E117" i="38"/>
  <c r="E115" i="38"/>
  <c r="E113" i="38"/>
  <c r="E111" i="38"/>
  <c r="F234" i="31"/>
  <c r="E136" i="39"/>
  <c r="J26" i="14"/>
  <c r="F240" i="31"/>
  <c r="F242" i="31"/>
  <c r="F236" i="31"/>
  <c r="F235" i="31"/>
  <c r="F244" i="31"/>
  <c r="F239" i="31"/>
  <c r="F243" i="31"/>
  <c r="F241" i="31"/>
  <c r="F237" i="31"/>
  <c r="E135" i="39"/>
  <c r="E133" i="39"/>
  <c r="E134" i="39"/>
  <c r="A265" i="31"/>
  <c r="E128" i="39"/>
  <c r="E105" i="40"/>
  <c r="G174" i="15"/>
  <c r="E103" i="40"/>
  <c r="E104" i="40"/>
  <c r="E163" i="39"/>
  <c r="G229" i="14"/>
  <c r="E160" i="39"/>
  <c r="G233" i="14"/>
  <c r="E164" i="39"/>
  <c r="E161" i="39"/>
  <c r="E165" i="39"/>
  <c r="G231" i="14"/>
  <c r="E162" i="39"/>
  <c r="E166" i="39"/>
  <c r="A283" i="14"/>
  <c r="G222" i="31"/>
  <c r="E159" i="38"/>
  <c r="D188" i="15"/>
  <c r="D197" i="15" s="1"/>
  <c r="D185" i="15"/>
  <c r="E124" i="38" l="1"/>
  <c r="F251" i="31"/>
  <c r="D322" i="14"/>
  <c r="D304" i="31" s="1"/>
  <c r="F304" i="31" s="1"/>
  <c r="D321" i="14"/>
  <c r="D303" i="31" s="1"/>
  <c r="D320" i="14"/>
  <c r="D302" i="31" s="1"/>
  <c r="D319" i="14"/>
  <c r="D301" i="31" s="1"/>
  <c r="D318" i="14"/>
  <c r="D300" i="31" s="1"/>
  <c r="D317" i="14"/>
  <c r="D299" i="31" s="1"/>
  <c r="D316" i="14"/>
  <c r="D298" i="31" s="1"/>
  <c r="D315" i="14"/>
  <c r="D297" i="31" s="1"/>
  <c r="D314" i="14"/>
  <c r="D296" i="31" s="1"/>
  <c r="D313" i="14"/>
  <c r="D295" i="31" s="1"/>
  <c r="D312" i="14"/>
  <c r="D294" i="31" s="1"/>
  <c r="D311" i="14"/>
  <c r="D293" i="31" s="1"/>
  <c r="D310" i="14"/>
  <c r="D292" i="31" s="1"/>
  <c r="D309" i="14"/>
  <c r="D291" i="31" s="1"/>
  <c r="F291" i="31" s="1"/>
  <c r="D308" i="14"/>
  <c r="D290" i="31" s="1"/>
  <c r="F290" i="31" s="1"/>
  <c r="D307" i="14"/>
  <c r="D289" i="31" s="1"/>
  <c r="D306" i="14"/>
  <c r="D305" i="14"/>
  <c r="D287" i="31" s="1"/>
  <c r="D304" i="14"/>
  <c r="D303" i="14"/>
  <c r="D285" i="31" s="1"/>
  <c r="D302" i="14"/>
  <c r="D284" i="31" s="1"/>
  <c r="D301" i="14"/>
  <c r="D283" i="31" s="1"/>
  <c r="D300" i="14"/>
  <c r="D299" i="14"/>
  <c r="D281" i="31" s="1"/>
  <c r="D298" i="14"/>
  <c r="D280" i="31" s="1"/>
  <c r="D297" i="14"/>
  <c r="D279" i="31" s="1"/>
  <c r="D296" i="14"/>
  <c r="D278" i="31" s="1"/>
  <c r="D295" i="14"/>
  <c r="D277" i="31" s="1"/>
  <c r="D294" i="14"/>
  <c r="D276" i="31" s="1"/>
  <c r="D293" i="14"/>
  <c r="D275" i="31" s="1"/>
  <c r="D292" i="14"/>
  <c r="D274" i="31" s="1"/>
  <c r="D291" i="14"/>
  <c r="D273" i="31" s="1"/>
  <c r="D290" i="14"/>
  <c r="D272" i="31" s="1"/>
  <c r="D289" i="14"/>
  <c r="D288" i="14"/>
  <c r="D270" i="31" s="1"/>
  <c r="D287" i="14"/>
  <c r="D249" i="31"/>
  <c r="F267" i="14"/>
  <c r="G185" i="15"/>
  <c r="E121" i="40"/>
  <c r="E83" i="40"/>
  <c r="D199" i="15"/>
  <c r="D195" i="15"/>
  <c r="D193" i="15"/>
  <c r="E84" i="40"/>
  <c r="D198" i="15"/>
  <c r="E77" i="40" s="1"/>
  <c r="D196" i="15"/>
  <c r="D194" i="15"/>
  <c r="E73" i="40" s="1"/>
  <c r="D192" i="15"/>
  <c r="F192" i="15" s="1"/>
  <c r="E123" i="38"/>
  <c r="F250" i="31"/>
  <c r="E122" i="38"/>
  <c r="F249" i="31"/>
  <c r="F238" i="31"/>
  <c r="E82" i="40"/>
  <c r="E75" i="40"/>
  <c r="E74" i="40"/>
  <c r="F193" i="15"/>
  <c r="D522" i="14"/>
  <c r="D524" i="14"/>
  <c r="D526" i="14"/>
  <c r="D528" i="14"/>
  <c r="F528" i="14" s="1"/>
  <c r="D530" i="14"/>
  <c r="F530" i="14" s="1"/>
  <c r="D532" i="14"/>
  <c r="F532" i="14" s="1"/>
  <c r="D533" i="14"/>
  <c r="F533" i="14" s="1"/>
  <c r="D521" i="14"/>
  <c r="D523" i="14"/>
  <c r="D525" i="14"/>
  <c r="D527" i="14"/>
  <c r="D529" i="14"/>
  <c r="F529" i="14" s="1"/>
  <c r="D531" i="14"/>
  <c r="F531" i="14" s="1"/>
  <c r="D517" i="14"/>
  <c r="D519" i="14"/>
  <c r="D516" i="14"/>
  <c r="D518" i="14"/>
  <c r="D520" i="14"/>
  <c r="E185" i="39"/>
  <c r="E173" i="38"/>
  <c r="E167" i="38"/>
  <c r="E204" i="39"/>
  <c r="E206" i="39"/>
  <c r="E208" i="39"/>
  <c r="E210" i="39"/>
  <c r="E212" i="39"/>
  <c r="E214" i="39"/>
  <c r="E216" i="39"/>
  <c r="E218" i="39"/>
  <c r="E220" i="39"/>
  <c r="E222" i="39"/>
  <c r="D332" i="14"/>
  <c r="E224" i="39" s="1"/>
  <c r="D334" i="14"/>
  <c r="E226" i="39" s="1"/>
  <c r="D336" i="14"/>
  <c r="E228" i="39" s="1"/>
  <c r="D338" i="14"/>
  <c r="E230" i="39" s="1"/>
  <c r="D340" i="14"/>
  <c r="E232" i="39" s="1"/>
  <c r="D342" i="14"/>
  <c r="E234" i="39" s="1"/>
  <c r="D344" i="14"/>
  <c r="E236" i="39" s="1"/>
  <c r="D346" i="14"/>
  <c r="E238" i="39" s="1"/>
  <c r="D348" i="14"/>
  <c r="E240" i="39" s="1"/>
  <c r="D350" i="14"/>
  <c r="E242" i="39" s="1"/>
  <c r="D352" i="14"/>
  <c r="E244" i="39" s="1"/>
  <c r="D354" i="14"/>
  <c r="E246" i="39" s="1"/>
  <c r="D356" i="14"/>
  <c r="E248" i="39" s="1"/>
  <c r="D358" i="14"/>
  <c r="E250" i="39" s="1"/>
  <c r="D360" i="14"/>
  <c r="E252" i="39" s="1"/>
  <c r="D362" i="14"/>
  <c r="E254" i="39" s="1"/>
  <c r="D364" i="14"/>
  <c r="E256" i="39" s="1"/>
  <c r="D366" i="14"/>
  <c r="E258" i="39" s="1"/>
  <c r="D368" i="14"/>
  <c r="E260" i="39" s="1"/>
  <c r="D370" i="14"/>
  <c r="E262" i="39" s="1"/>
  <c r="D372" i="14"/>
  <c r="E264" i="39" s="1"/>
  <c r="D374" i="14"/>
  <c r="E266" i="39" s="1"/>
  <c r="D376" i="14"/>
  <c r="E268" i="39" s="1"/>
  <c r="D378" i="14"/>
  <c r="E270" i="39" s="1"/>
  <c r="D380" i="14"/>
  <c r="E272" i="39" s="1"/>
  <c r="D382" i="14"/>
  <c r="E274" i="39" s="1"/>
  <c r="D384" i="14"/>
  <c r="E276" i="39" s="1"/>
  <c r="D386" i="14"/>
  <c r="E278" i="39" s="1"/>
  <c r="D388" i="14"/>
  <c r="E280" i="39" s="1"/>
  <c r="D390" i="14"/>
  <c r="E282" i="39" s="1"/>
  <c r="D392" i="14"/>
  <c r="E284" i="39" s="1"/>
  <c r="D394" i="14"/>
  <c r="E286" i="39" s="1"/>
  <c r="D396" i="14"/>
  <c r="E288" i="39" s="1"/>
  <c r="D398" i="14"/>
  <c r="E290" i="39" s="1"/>
  <c r="D400" i="14"/>
  <c r="E292" i="39" s="1"/>
  <c r="D402" i="14"/>
  <c r="E294" i="39" s="1"/>
  <c r="D404" i="14"/>
  <c r="E296" i="39" s="1"/>
  <c r="D406" i="14"/>
  <c r="E298" i="39" s="1"/>
  <c r="D408" i="14"/>
  <c r="E300" i="39" s="1"/>
  <c r="D410" i="14"/>
  <c r="E302" i="39" s="1"/>
  <c r="D412" i="14"/>
  <c r="E304" i="39" s="1"/>
  <c r="D414" i="14"/>
  <c r="E306" i="39" s="1"/>
  <c r="D416" i="14"/>
  <c r="E308" i="39" s="1"/>
  <c r="D418" i="14"/>
  <c r="E310" i="39" s="1"/>
  <c r="D420" i="14"/>
  <c r="E312" i="39" s="1"/>
  <c r="D422" i="14"/>
  <c r="E314" i="39" s="1"/>
  <c r="D424" i="14"/>
  <c r="E316" i="39" s="1"/>
  <c r="D426" i="14"/>
  <c r="E318" i="39" s="1"/>
  <c r="D428" i="14"/>
  <c r="E320" i="39" s="1"/>
  <c r="D430" i="14"/>
  <c r="E322" i="39" s="1"/>
  <c r="D432" i="14"/>
  <c r="E324" i="39" s="1"/>
  <c r="D434" i="14"/>
  <c r="E326" i="39" s="1"/>
  <c r="D436" i="14"/>
  <c r="E328" i="39" s="1"/>
  <c r="D438" i="14"/>
  <c r="E330" i="39" s="1"/>
  <c r="D440" i="14"/>
  <c r="E332" i="39" s="1"/>
  <c r="D442" i="14"/>
  <c r="E334" i="39" s="1"/>
  <c r="D444" i="14"/>
  <c r="E336" i="39" s="1"/>
  <c r="D446" i="14"/>
  <c r="E338" i="39" s="1"/>
  <c r="D448" i="14"/>
  <c r="E340" i="39" s="1"/>
  <c r="D450" i="14"/>
  <c r="E342" i="39" s="1"/>
  <c r="D452" i="14"/>
  <c r="E344" i="39" s="1"/>
  <c r="D454" i="14"/>
  <c r="E346" i="39" s="1"/>
  <c r="E203" i="39"/>
  <c r="E205" i="39"/>
  <c r="E207" i="39"/>
  <c r="E209" i="39"/>
  <c r="E211" i="39"/>
  <c r="E213" i="39"/>
  <c r="E215" i="39"/>
  <c r="E217" i="39"/>
  <c r="E219" i="39"/>
  <c r="E221" i="39"/>
  <c r="E223" i="39"/>
  <c r="D333" i="14"/>
  <c r="E225" i="39" s="1"/>
  <c r="D335" i="14"/>
  <c r="E227" i="39" s="1"/>
  <c r="D337" i="14"/>
  <c r="E229" i="39" s="1"/>
  <c r="D339" i="14"/>
  <c r="E231" i="39" s="1"/>
  <c r="D341" i="14"/>
  <c r="E233" i="39" s="1"/>
  <c r="D343" i="14"/>
  <c r="E235" i="39" s="1"/>
  <c r="D345" i="14"/>
  <c r="E237" i="39" s="1"/>
  <c r="D347" i="14"/>
  <c r="E239" i="39" s="1"/>
  <c r="D349" i="14"/>
  <c r="E241" i="39" s="1"/>
  <c r="D351" i="14"/>
  <c r="E243" i="39" s="1"/>
  <c r="D353" i="14"/>
  <c r="E245" i="39" s="1"/>
  <c r="D355" i="14"/>
  <c r="E247" i="39" s="1"/>
  <c r="D357" i="14"/>
  <c r="E249" i="39" s="1"/>
  <c r="D359" i="14"/>
  <c r="E251" i="39" s="1"/>
  <c r="D361" i="14"/>
  <c r="E253" i="39" s="1"/>
  <c r="D363" i="14"/>
  <c r="E255" i="39" s="1"/>
  <c r="D365" i="14"/>
  <c r="E257" i="39" s="1"/>
  <c r="D367" i="14"/>
  <c r="E259" i="39" s="1"/>
  <c r="D369" i="14"/>
  <c r="E261" i="39" s="1"/>
  <c r="D371" i="14"/>
  <c r="E263" i="39" s="1"/>
  <c r="D373" i="14"/>
  <c r="E265" i="39" s="1"/>
  <c r="D375" i="14"/>
  <c r="E267" i="39" s="1"/>
  <c r="D377" i="14"/>
  <c r="E269" i="39" s="1"/>
  <c r="D379" i="14"/>
  <c r="E271" i="39" s="1"/>
  <c r="D381" i="14"/>
  <c r="E273" i="39" s="1"/>
  <c r="D383" i="14"/>
  <c r="E275" i="39" s="1"/>
  <c r="D385" i="14"/>
  <c r="E277" i="39" s="1"/>
  <c r="D387" i="14"/>
  <c r="E279" i="39" s="1"/>
  <c r="D389" i="14"/>
  <c r="E281" i="39" s="1"/>
  <c r="D391" i="14"/>
  <c r="E283" i="39" s="1"/>
  <c r="D393" i="14"/>
  <c r="E285" i="39" s="1"/>
  <c r="D395" i="14"/>
  <c r="E287" i="39" s="1"/>
  <c r="D397" i="14"/>
  <c r="E289" i="39" s="1"/>
  <c r="D399" i="14"/>
  <c r="E291" i="39" s="1"/>
  <c r="D401" i="14"/>
  <c r="E293" i="39" s="1"/>
  <c r="D403" i="14"/>
  <c r="E295" i="39" s="1"/>
  <c r="D405" i="14"/>
  <c r="E297" i="39" s="1"/>
  <c r="D407" i="14"/>
  <c r="E299" i="39" s="1"/>
  <c r="D409" i="14"/>
  <c r="E301" i="39" s="1"/>
  <c r="D411" i="14"/>
  <c r="E303" i="39" s="1"/>
  <c r="D413" i="14"/>
  <c r="E305" i="39" s="1"/>
  <c r="D415" i="14"/>
  <c r="E307" i="39" s="1"/>
  <c r="D417" i="14"/>
  <c r="E309" i="39" s="1"/>
  <c r="D419" i="14"/>
  <c r="E311" i="39" s="1"/>
  <c r="D421" i="14"/>
  <c r="E313" i="39" s="1"/>
  <c r="D423" i="14"/>
  <c r="E315" i="39" s="1"/>
  <c r="D425" i="14"/>
  <c r="E317" i="39" s="1"/>
  <c r="D427" i="14"/>
  <c r="E319" i="39" s="1"/>
  <c r="D429" i="14"/>
  <c r="E321" i="39" s="1"/>
  <c r="D431" i="14"/>
  <c r="E323" i="39" s="1"/>
  <c r="D433" i="14"/>
  <c r="E325" i="39" s="1"/>
  <c r="D435" i="14"/>
  <c r="E327" i="39" s="1"/>
  <c r="D437" i="14"/>
  <c r="E329" i="39" s="1"/>
  <c r="D439" i="14"/>
  <c r="E331" i="39" s="1"/>
  <c r="D441" i="14"/>
  <c r="E333" i="39" s="1"/>
  <c r="D443" i="14"/>
  <c r="E335" i="39" s="1"/>
  <c r="D445" i="14"/>
  <c r="E337" i="39" s="1"/>
  <c r="D447" i="14"/>
  <c r="E339" i="39" s="1"/>
  <c r="D449" i="14"/>
  <c r="E341" i="39" s="1"/>
  <c r="D451" i="14"/>
  <c r="E343" i="39" s="1"/>
  <c r="D453" i="14"/>
  <c r="E345" i="39" s="1"/>
  <c r="D456" i="14"/>
  <c r="E348" i="39" s="1"/>
  <c r="D458" i="14"/>
  <c r="E350" i="39" s="1"/>
  <c r="D460" i="14"/>
  <c r="E352" i="39" s="1"/>
  <c r="D462" i="14"/>
  <c r="E354" i="39" s="1"/>
  <c r="D464" i="14"/>
  <c r="E356" i="39" s="1"/>
  <c r="D466" i="14"/>
  <c r="E358" i="39" s="1"/>
  <c r="D468" i="14"/>
  <c r="E360" i="39" s="1"/>
  <c r="D470" i="14"/>
  <c r="E362" i="39" s="1"/>
  <c r="D472" i="14"/>
  <c r="E364" i="39" s="1"/>
  <c r="D474" i="14"/>
  <c r="E366" i="39" s="1"/>
  <c r="D476" i="14"/>
  <c r="E368" i="39" s="1"/>
  <c r="D478" i="14"/>
  <c r="E370" i="39" s="1"/>
  <c r="D480" i="14"/>
  <c r="E372" i="39" s="1"/>
  <c r="D482" i="14"/>
  <c r="E374" i="39" s="1"/>
  <c r="D484" i="14"/>
  <c r="E376" i="39" s="1"/>
  <c r="D486" i="14"/>
  <c r="E378" i="39" s="1"/>
  <c r="D488" i="14"/>
  <c r="E380" i="39" s="1"/>
  <c r="D490" i="14"/>
  <c r="E382" i="39" s="1"/>
  <c r="D492" i="14"/>
  <c r="E384" i="39" s="1"/>
  <c r="D494" i="14"/>
  <c r="E386" i="39" s="1"/>
  <c r="D496" i="14"/>
  <c r="E388" i="39" s="1"/>
  <c r="D498" i="14"/>
  <c r="E390" i="39" s="1"/>
  <c r="D500" i="14"/>
  <c r="E392" i="39" s="1"/>
  <c r="D502" i="14"/>
  <c r="E394" i="39" s="1"/>
  <c r="D504" i="14"/>
  <c r="E396" i="39" s="1"/>
  <c r="D506" i="14"/>
  <c r="D508" i="14"/>
  <c r="D510" i="14"/>
  <c r="D512" i="14"/>
  <c r="D514" i="14"/>
  <c r="D455" i="14"/>
  <c r="E347" i="39" s="1"/>
  <c r="D457" i="14"/>
  <c r="E349" i="39" s="1"/>
  <c r="D459" i="14"/>
  <c r="E351" i="39" s="1"/>
  <c r="D461" i="14"/>
  <c r="E353" i="39" s="1"/>
  <c r="D463" i="14"/>
  <c r="E355" i="39" s="1"/>
  <c r="D465" i="14"/>
  <c r="E357" i="39" s="1"/>
  <c r="D467" i="14"/>
  <c r="E359" i="39" s="1"/>
  <c r="D469" i="14"/>
  <c r="E361" i="39" s="1"/>
  <c r="D471" i="14"/>
  <c r="E363" i="39" s="1"/>
  <c r="D473" i="14"/>
  <c r="E365" i="39" s="1"/>
  <c r="D475" i="14"/>
  <c r="E367" i="39" s="1"/>
  <c r="D477" i="14"/>
  <c r="E369" i="39" s="1"/>
  <c r="D479" i="14"/>
  <c r="E371" i="39" s="1"/>
  <c r="D481" i="14"/>
  <c r="E373" i="39" s="1"/>
  <c r="D483" i="14"/>
  <c r="E375" i="39" s="1"/>
  <c r="D485" i="14"/>
  <c r="E377" i="39" s="1"/>
  <c r="D487" i="14"/>
  <c r="E379" i="39" s="1"/>
  <c r="D489" i="14"/>
  <c r="E381" i="39" s="1"/>
  <c r="D491" i="14"/>
  <c r="E383" i="39" s="1"/>
  <c r="D493" i="14"/>
  <c r="E385" i="39" s="1"/>
  <c r="D495" i="14"/>
  <c r="E387" i="39" s="1"/>
  <c r="D497" i="14"/>
  <c r="E389" i="39" s="1"/>
  <c r="D499" i="14"/>
  <c r="E391" i="39" s="1"/>
  <c r="D501" i="14"/>
  <c r="E393" i="39" s="1"/>
  <c r="D503" i="14"/>
  <c r="E395" i="39" s="1"/>
  <c r="D505" i="14"/>
  <c r="D507" i="14"/>
  <c r="D509" i="14"/>
  <c r="D511" i="14"/>
  <c r="D513" i="14"/>
  <c r="D515" i="14"/>
  <c r="E130" i="38"/>
  <c r="F255" i="31"/>
  <c r="E132" i="38"/>
  <c r="F257" i="31"/>
  <c r="F260" i="31"/>
  <c r="E135" i="38"/>
  <c r="F256" i="31"/>
  <c r="E131" i="38"/>
  <c r="F252" i="31"/>
  <c r="E127" i="38"/>
  <c r="F246" i="31"/>
  <c r="E134" i="38"/>
  <c r="F259" i="31"/>
  <c r="F245" i="31"/>
  <c r="E136" i="38"/>
  <c r="F261" i="31"/>
  <c r="E128" i="38"/>
  <c r="F253" i="31"/>
  <c r="F247" i="31"/>
  <c r="F262" i="31"/>
  <c r="E137" i="38"/>
  <c r="F258" i="31"/>
  <c r="E133" i="38"/>
  <c r="F254" i="31"/>
  <c r="E129" i="38"/>
  <c r="F248" i="31"/>
  <c r="E131" i="39"/>
  <c r="E139" i="39"/>
  <c r="D271" i="14"/>
  <c r="D273" i="14"/>
  <c r="D275" i="14"/>
  <c r="D277" i="14"/>
  <c r="D279" i="14"/>
  <c r="E137" i="39"/>
  <c r="E138" i="39"/>
  <c r="D270" i="14"/>
  <c r="D272" i="14"/>
  <c r="D274" i="14"/>
  <c r="D276" i="14"/>
  <c r="D278" i="14"/>
  <c r="D280" i="14"/>
  <c r="E76" i="40"/>
  <c r="E78" i="40"/>
  <c r="G223" i="31"/>
  <c r="H8" i="37" s="1"/>
  <c r="G186" i="15"/>
  <c r="H23" i="37" s="1"/>
  <c r="F249" i="14"/>
  <c r="E127" i="39"/>
  <c r="F254" i="14"/>
  <c r="E132" i="39"/>
  <c r="E202" i="39"/>
  <c r="E191" i="39"/>
  <c r="E197" i="39"/>
  <c r="E186" i="39"/>
  <c r="F251" i="14"/>
  <c r="E129" i="39"/>
  <c r="F248" i="14"/>
  <c r="E126" i="39"/>
  <c r="F252" i="14"/>
  <c r="E130" i="39"/>
  <c r="F255" i="14"/>
  <c r="E106" i="38"/>
  <c r="E105" i="38"/>
  <c r="F232" i="31"/>
  <c r="E110" i="38"/>
  <c r="E109" i="38"/>
  <c r="E107" i="38"/>
  <c r="E186" i="38"/>
  <c r="E188" i="38"/>
  <c r="E190" i="38"/>
  <c r="E192" i="38"/>
  <c r="E194" i="38"/>
  <c r="E196" i="38"/>
  <c r="E198" i="38"/>
  <c r="E206" i="38"/>
  <c r="E208" i="38"/>
  <c r="E210" i="38"/>
  <c r="E212" i="38"/>
  <c r="E214" i="38"/>
  <c r="E216" i="38"/>
  <c r="E218" i="38"/>
  <c r="E220" i="38"/>
  <c r="E222" i="38"/>
  <c r="E224" i="38"/>
  <c r="E226" i="38"/>
  <c r="E228" i="38"/>
  <c r="E230" i="38"/>
  <c r="E232" i="38"/>
  <c r="E234" i="38"/>
  <c r="E236" i="38"/>
  <c r="E238" i="38"/>
  <c r="E240" i="38"/>
  <c r="E242" i="38"/>
  <c r="E244" i="38"/>
  <c r="E246" i="38"/>
  <c r="E248" i="38"/>
  <c r="E250" i="38"/>
  <c r="E252" i="38"/>
  <c r="E254" i="38"/>
  <c r="E256" i="38"/>
  <c r="E258" i="38"/>
  <c r="E260" i="38"/>
  <c r="E262" i="38"/>
  <c r="E264" i="38"/>
  <c r="E266" i="38"/>
  <c r="E268" i="38"/>
  <c r="E270" i="38"/>
  <c r="E272" i="38"/>
  <c r="E274" i="38"/>
  <c r="E276" i="38"/>
  <c r="E278" i="38"/>
  <c r="E280" i="38"/>
  <c r="E282" i="38"/>
  <c r="E284" i="38"/>
  <c r="E286" i="38"/>
  <c r="E288" i="38"/>
  <c r="E290" i="38"/>
  <c r="E292" i="38"/>
  <c r="E294" i="38"/>
  <c r="E296" i="38"/>
  <c r="E298" i="38"/>
  <c r="E300" i="38"/>
  <c r="E302" i="38"/>
  <c r="E304" i="38"/>
  <c r="E306" i="38"/>
  <c r="E308" i="38"/>
  <c r="E187" i="38"/>
  <c r="E191" i="38"/>
  <c r="E195" i="38"/>
  <c r="E199" i="38"/>
  <c r="E207" i="38"/>
  <c r="E211" i="38"/>
  <c r="E215" i="38"/>
  <c r="E219" i="38"/>
  <c r="E223" i="38"/>
  <c r="E227" i="38"/>
  <c r="E231" i="38"/>
  <c r="E235" i="38"/>
  <c r="E239" i="38"/>
  <c r="E243" i="38"/>
  <c r="E247" i="38"/>
  <c r="E251" i="38"/>
  <c r="E255" i="38"/>
  <c r="E259" i="38"/>
  <c r="E263" i="38"/>
  <c r="E267" i="38"/>
  <c r="E271" i="38"/>
  <c r="E275" i="38"/>
  <c r="E279" i="38"/>
  <c r="E283" i="38"/>
  <c r="E287" i="38"/>
  <c r="E291" i="38"/>
  <c r="E295" i="38"/>
  <c r="E299" i="38"/>
  <c r="E303" i="38"/>
  <c r="E307" i="38"/>
  <c r="E185" i="38"/>
  <c r="E189" i="38"/>
  <c r="E193" i="38"/>
  <c r="E197" i="38"/>
  <c r="E209" i="38"/>
  <c r="E213" i="38"/>
  <c r="E217" i="38"/>
  <c r="E221" i="38"/>
  <c r="E225" i="38"/>
  <c r="E229" i="38"/>
  <c r="E233" i="38"/>
  <c r="E237" i="38"/>
  <c r="E241" i="38"/>
  <c r="E245" i="38"/>
  <c r="E249" i="38"/>
  <c r="E253" i="38"/>
  <c r="E257" i="38"/>
  <c r="E261" i="38"/>
  <c r="E265" i="38"/>
  <c r="E269" i="38"/>
  <c r="E273" i="38"/>
  <c r="E277" i="38"/>
  <c r="E281" i="38"/>
  <c r="E285" i="38"/>
  <c r="E289" i="38"/>
  <c r="E293" i="38"/>
  <c r="E297" i="38"/>
  <c r="E301" i="38"/>
  <c r="E305" i="38"/>
  <c r="E309" i="38"/>
  <c r="E184" i="38"/>
  <c r="E165" i="38"/>
  <c r="E179" i="38"/>
  <c r="E169" i="38"/>
  <c r="F307" i="14"/>
  <c r="F306" i="14"/>
  <c r="F300" i="14"/>
  <c r="F250" i="14"/>
  <c r="F253" i="14"/>
  <c r="G234" i="14"/>
  <c r="G177" i="15"/>
  <c r="E106" i="40"/>
  <c r="E108" i="40"/>
  <c r="E107" i="40"/>
  <c r="A216" i="15"/>
  <c r="D271" i="31" l="1"/>
  <c r="F289" i="14"/>
  <c r="D282" i="31"/>
  <c r="E192" i="39"/>
  <c r="E176" i="38"/>
  <c r="F284" i="31"/>
  <c r="D286" i="31"/>
  <c r="E178" i="38" s="1"/>
  <c r="F304" i="14"/>
  <c r="E196" i="39"/>
  <c r="D288" i="31"/>
  <c r="E198" i="39"/>
  <c r="D255" i="15"/>
  <c r="D253" i="15"/>
  <c r="D251" i="15"/>
  <c r="D247" i="15"/>
  <c r="E150" i="40" s="1"/>
  <c r="D244" i="15"/>
  <c r="D242" i="15"/>
  <c r="D240" i="15"/>
  <c r="D238" i="15"/>
  <c r="D236" i="15"/>
  <c r="D234" i="15"/>
  <c r="D232" i="15"/>
  <c r="D230" i="15"/>
  <c r="D228" i="15"/>
  <c r="D226" i="15"/>
  <c r="E129" i="40" s="1"/>
  <c r="D223" i="15"/>
  <c r="D248" i="15"/>
  <c r="E151" i="40" s="1"/>
  <c r="D224" i="15"/>
  <c r="D222" i="15"/>
  <c r="F222" i="15" s="1"/>
  <c r="D254" i="15"/>
  <c r="D252" i="15"/>
  <c r="E155" i="40" s="1"/>
  <c r="D250" i="15"/>
  <c r="D245" i="15"/>
  <c r="D243" i="15"/>
  <c r="D241" i="15"/>
  <c r="D239" i="15"/>
  <c r="D237" i="15"/>
  <c r="D235" i="15"/>
  <c r="D233" i="15"/>
  <c r="E136" i="40" s="1"/>
  <c r="D231" i="15"/>
  <c r="D229" i="15"/>
  <c r="D227" i="15"/>
  <c r="D225" i="15"/>
  <c r="D249" i="15"/>
  <c r="D246" i="15"/>
  <c r="F288" i="14"/>
  <c r="F287" i="14"/>
  <c r="D269" i="31"/>
  <c r="F263" i="31"/>
  <c r="E8" i="37" s="1"/>
  <c r="D221" i="15"/>
  <c r="D220" i="15"/>
  <c r="F293" i="14"/>
  <c r="F272" i="31"/>
  <c r="E164" i="38"/>
  <c r="E398" i="38"/>
  <c r="E394" i="38"/>
  <c r="E397" i="38"/>
  <c r="E393" i="38"/>
  <c r="E399" i="38"/>
  <c r="F274" i="31"/>
  <c r="E166" i="38"/>
  <c r="E390" i="38"/>
  <c r="E396" i="38"/>
  <c r="E392" i="38"/>
  <c r="E395" i="38"/>
  <c r="E391" i="38"/>
  <c r="E400" i="38"/>
  <c r="E401" i="38"/>
  <c r="F518" i="14"/>
  <c r="E410" i="39"/>
  <c r="F290" i="14"/>
  <c r="E182" i="39"/>
  <c r="F301" i="14"/>
  <c r="E193" i="39"/>
  <c r="F517" i="14"/>
  <c r="E409" i="39"/>
  <c r="E417" i="39"/>
  <c r="F525" i="14"/>
  <c r="E413" i="39"/>
  <c r="F521" i="14"/>
  <c r="E416" i="39"/>
  <c r="F524" i="14"/>
  <c r="F302" i="14"/>
  <c r="E194" i="39"/>
  <c r="F520" i="14"/>
  <c r="E412" i="39"/>
  <c r="F516" i="14"/>
  <c r="E408" i="39"/>
  <c r="F292" i="14"/>
  <c r="E184" i="39"/>
  <c r="F519" i="14"/>
  <c r="E411" i="39"/>
  <c r="E419" i="39"/>
  <c r="F527" i="14"/>
  <c r="E415" i="39"/>
  <c r="F523" i="14"/>
  <c r="E418" i="39"/>
  <c r="F526" i="14"/>
  <c r="E414" i="39"/>
  <c r="F522" i="14"/>
  <c r="D450" i="15"/>
  <c r="D452" i="15"/>
  <c r="D454" i="15"/>
  <c r="D456" i="15"/>
  <c r="D458" i="15"/>
  <c r="D460" i="15"/>
  <c r="D462" i="15"/>
  <c r="F462" i="15" s="1"/>
  <c r="D464" i="15"/>
  <c r="F464" i="15" s="1"/>
  <c r="D466" i="15"/>
  <c r="F466" i="15" s="1"/>
  <c r="D449" i="15"/>
  <c r="D451" i="15"/>
  <c r="D453" i="15"/>
  <c r="D455" i="15"/>
  <c r="D457" i="15"/>
  <c r="D459" i="15"/>
  <c r="D461" i="15"/>
  <c r="F461" i="15" s="1"/>
  <c r="D463" i="15"/>
  <c r="F463" i="15" s="1"/>
  <c r="D465" i="15"/>
  <c r="F465" i="15" s="1"/>
  <c r="E99" i="40"/>
  <c r="E95" i="40"/>
  <c r="E91" i="40"/>
  <c r="F212" i="15"/>
  <c r="E86" i="40"/>
  <c r="E98" i="40"/>
  <c r="E94" i="40"/>
  <c r="E90" i="40"/>
  <c r="F211" i="15"/>
  <c r="E85" i="40"/>
  <c r="E147" i="40"/>
  <c r="E149" i="40"/>
  <c r="E153" i="40"/>
  <c r="E157" i="40"/>
  <c r="E159" i="40"/>
  <c r="E161" i="40"/>
  <c r="E163" i="40"/>
  <c r="E165" i="40"/>
  <c r="E167" i="40"/>
  <c r="E169" i="40"/>
  <c r="E171" i="40"/>
  <c r="E173" i="40"/>
  <c r="E175" i="40"/>
  <c r="E177" i="40"/>
  <c r="E179" i="40"/>
  <c r="E181" i="40"/>
  <c r="E183" i="40"/>
  <c r="E185" i="40"/>
  <c r="E187" i="40"/>
  <c r="E189" i="40"/>
  <c r="E191" i="40"/>
  <c r="E193" i="40"/>
  <c r="E195" i="40"/>
  <c r="E197" i="40"/>
  <c r="E199" i="40"/>
  <c r="E201" i="40"/>
  <c r="E203" i="40"/>
  <c r="E205" i="40"/>
  <c r="E207" i="40"/>
  <c r="E209" i="40"/>
  <c r="E211" i="40"/>
  <c r="E213" i="40"/>
  <c r="E215" i="40"/>
  <c r="E217" i="40"/>
  <c r="E219" i="40"/>
  <c r="E221" i="40"/>
  <c r="E223" i="40"/>
  <c r="D322" i="15"/>
  <c r="E225" i="40" s="1"/>
  <c r="D324" i="15"/>
  <c r="E227" i="40" s="1"/>
  <c r="D326" i="15"/>
  <c r="E229" i="40" s="1"/>
  <c r="D328" i="15"/>
  <c r="E231" i="40" s="1"/>
  <c r="D330" i="15"/>
  <c r="E233" i="40" s="1"/>
  <c r="D332" i="15"/>
  <c r="E235" i="40" s="1"/>
  <c r="D334" i="15"/>
  <c r="E237" i="40" s="1"/>
  <c r="D336" i="15"/>
  <c r="E239" i="40" s="1"/>
  <c r="D338" i="15"/>
  <c r="E241" i="40" s="1"/>
  <c r="D340" i="15"/>
  <c r="E243" i="40" s="1"/>
  <c r="D342" i="15"/>
  <c r="E245" i="40" s="1"/>
  <c r="D344" i="15"/>
  <c r="E247" i="40" s="1"/>
  <c r="D346" i="15"/>
  <c r="E249" i="40" s="1"/>
  <c r="D348" i="15"/>
  <c r="E251" i="40" s="1"/>
  <c r="D350" i="15"/>
  <c r="E253" i="40" s="1"/>
  <c r="D352" i="15"/>
  <c r="E255" i="40" s="1"/>
  <c r="D354" i="15"/>
  <c r="E257" i="40" s="1"/>
  <c r="D356" i="15"/>
  <c r="E259" i="40" s="1"/>
  <c r="D358" i="15"/>
  <c r="E261" i="40" s="1"/>
  <c r="D360" i="15"/>
  <c r="E263" i="40" s="1"/>
  <c r="D362" i="15"/>
  <c r="E265" i="40" s="1"/>
  <c r="D364" i="15"/>
  <c r="E267" i="40" s="1"/>
  <c r="D366" i="15"/>
  <c r="E269" i="40" s="1"/>
  <c r="D368" i="15"/>
  <c r="E271" i="40" s="1"/>
  <c r="D370" i="15"/>
  <c r="E273" i="40" s="1"/>
  <c r="D372" i="15"/>
  <c r="E275" i="40" s="1"/>
  <c r="D374" i="15"/>
  <c r="E277" i="40" s="1"/>
  <c r="D376" i="15"/>
  <c r="E279" i="40" s="1"/>
  <c r="D378" i="15"/>
  <c r="E281" i="40" s="1"/>
  <c r="D380" i="15"/>
  <c r="E283" i="40" s="1"/>
  <c r="D382" i="15"/>
  <c r="E285" i="40" s="1"/>
  <c r="D384" i="15"/>
  <c r="E287" i="40" s="1"/>
  <c r="D386" i="15"/>
  <c r="E289" i="40" s="1"/>
  <c r="D388" i="15"/>
  <c r="E291" i="40" s="1"/>
  <c r="D390" i="15"/>
  <c r="E293" i="40" s="1"/>
  <c r="D392" i="15"/>
  <c r="E295" i="40" s="1"/>
  <c r="E148" i="40"/>
  <c r="E152" i="40"/>
  <c r="E154" i="40"/>
  <c r="E156" i="40"/>
  <c r="E158" i="40"/>
  <c r="E160" i="40"/>
  <c r="E162" i="40"/>
  <c r="E164" i="40"/>
  <c r="E166" i="40"/>
  <c r="E168" i="40"/>
  <c r="E170" i="40"/>
  <c r="E172" i="40"/>
  <c r="E174" i="40"/>
  <c r="E176" i="40"/>
  <c r="E178" i="40"/>
  <c r="E180" i="40"/>
  <c r="E182" i="40"/>
  <c r="E184" i="40"/>
  <c r="E186" i="40"/>
  <c r="E188" i="40"/>
  <c r="E190" i="40"/>
  <c r="E192" i="40"/>
  <c r="E194" i="40"/>
  <c r="E196" i="40"/>
  <c r="E198" i="40"/>
  <c r="E200" i="40"/>
  <c r="E202" i="40"/>
  <c r="E204" i="40"/>
  <c r="E206" i="40"/>
  <c r="E208" i="40"/>
  <c r="E210" i="40"/>
  <c r="E212" i="40"/>
  <c r="E214" i="40"/>
  <c r="E216" i="40"/>
  <c r="E218" i="40"/>
  <c r="E220" i="40"/>
  <c r="E222" i="40"/>
  <c r="E224" i="40"/>
  <c r="D323" i="15"/>
  <c r="E226" i="40" s="1"/>
  <c r="D325" i="15"/>
  <c r="E228" i="40" s="1"/>
  <c r="D327" i="15"/>
  <c r="E230" i="40" s="1"/>
  <c r="D329" i="15"/>
  <c r="E232" i="40" s="1"/>
  <c r="D331" i="15"/>
  <c r="E234" i="40" s="1"/>
  <c r="D333" i="15"/>
  <c r="E236" i="40" s="1"/>
  <c r="D335" i="15"/>
  <c r="E238" i="40" s="1"/>
  <c r="D337" i="15"/>
  <c r="E240" i="40" s="1"/>
  <c r="D339" i="15"/>
  <c r="E242" i="40" s="1"/>
  <c r="D341" i="15"/>
  <c r="E244" i="40" s="1"/>
  <c r="D343" i="15"/>
  <c r="E246" i="40" s="1"/>
  <c r="D345" i="15"/>
  <c r="E248" i="40" s="1"/>
  <c r="D347" i="15"/>
  <c r="E250" i="40" s="1"/>
  <c r="D349" i="15"/>
  <c r="E252" i="40" s="1"/>
  <c r="D351" i="15"/>
  <c r="E254" i="40" s="1"/>
  <c r="D353" i="15"/>
  <c r="E256" i="40" s="1"/>
  <c r="D355" i="15"/>
  <c r="E258" i="40" s="1"/>
  <c r="D357" i="15"/>
  <c r="E260" i="40" s="1"/>
  <c r="D359" i="15"/>
  <c r="E262" i="40" s="1"/>
  <c r="D361" i="15"/>
  <c r="E264" i="40" s="1"/>
  <c r="D363" i="15"/>
  <c r="E266" i="40" s="1"/>
  <c r="D365" i="15"/>
  <c r="E268" i="40" s="1"/>
  <c r="D367" i="15"/>
  <c r="E270" i="40" s="1"/>
  <c r="D369" i="15"/>
  <c r="E272" i="40" s="1"/>
  <c r="D371" i="15"/>
  <c r="E274" i="40" s="1"/>
  <c r="D373" i="15"/>
  <c r="E276" i="40" s="1"/>
  <c r="D375" i="15"/>
  <c r="E278" i="40" s="1"/>
  <c r="D377" i="15"/>
  <c r="E280" i="40" s="1"/>
  <c r="D379" i="15"/>
  <c r="E282" i="40" s="1"/>
  <c r="D381" i="15"/>
  <c r="E284" i="40" s="1"/>
  <c r="D383" i="15"/>
  <c r="E286" i="40" s="1"/>
  <c r="D385" i="15"/>
  <c r="E288" i="40" s="1"/>
  <c r="D387" i="15"/>
  <c r="E290" i="40" s="1"/>
  <c r="D389" i="15"/>
  <c r="E292" i="40" s="1"/>
  <c r="D391" i="15"/>
  <c r="E294" i="40" s="1"/>
  <c r="D393" i="15"/>
  <c r="E296" i="40" s="1"/>
  <c r="D394" i="15"/>
  <c r="E297" i="40" s="1"/>
  <c r="D396" i="15"/>
  <c r="E299" i="40" s="1"/>
  <c r="D398" i="15"/>
  <c r="E301" i="40" s="1"/>
  <c r="D400" i="15"/>
  <c r="E303" i="40" s="1"/>
  <c r="D402" i="15"/>
  <c r="E305" i="40" s="1"/>
  <c r="D404" i="15"/>
  <c r="E307" i="40" s="1"/>
  <c r="D406" i="15"/>
  <c r="E309" i="40" s="1"/>
  <c r="D408" i="15"/>
  <c r="E311" i="40" s="1"/>
  <c r="D410" i="15"/>
  <c r="E313" i="40" s="1"/>
  <c r="D412" i="15"/>
  <c r="E315" i="40" s="1"/>
  <c r="D414" i="15"/>
  <c r="E317" i="40" s="1"/>
  <c r="D416" i="15"/>
  <c r="E319" i="40" s="1"/>
  <c r="D418" i="15"/>
  <c r="E321" i="40" s="1"/>
  <c r="D420" i="15"/>
  <c r="E323" i="40" s="1"/>
  <c r="D422" i="15"/>
  <c r="E325" i="40" s="1"/>
  <c r="D424" i="15"/>
  <c r="E327" i="40" s="1"/>
  <c r="D426" i="15"/>
  <c r="E329" i="40" s="1"/>
  <c r="D428" i="15"/>
  <c r="E331" i="40" s="1"/>
  <c r="D430" i="15"/>
  <c r="E333" i="40" s="1"/>
  <c r="D432" i="15"/>
  <c r="E335" i="40" s="1"/>
  <c r="D434" i="15"/>
  <c r="D436" i="15"/>
  <c r="D438" i="15"/>
  <c r="D440" i="15"/>
  <c r="D442" i="15"/>
  <c r="E345" i="40" s="1"/>
  <c r="D444" i="15"/>
  <c r="E347" i="40" s="1"/>
  <c r="D446" i="15"/>
  <c r="E349" i="40" s="1"/>
  <c r="D448" i="15"/>
  <c r="E351" i="40" s="1"/>
  <c r="D395" i="15"/>
  <c r="E298" i="40" s="1"/>
  <c r="D397" i="15"/>
  <c r="E300" i="40" s="1"/>
  <c r="D399" i="15"/>
  <c r="E302" i="40" s="1"/>
  <c r="D401" i="15"/>
  <c r="E304" i="40" s="1"/>
  <c r="D403" i="15"/>
  <c r="E306" i="40" s="1"/>
  <c r="D405" i="15"/>
  <c r="E308" i="40" s="1"/>
  <c r="D407" i="15"/>
  <c r="E310" i="40" s="1"/>
  <c r="D409" i="15"/>
  <c r="E312" i="40" s="1"/>
  <c r="D411" i="15"/>
  <c r="E314" i="40" s="1"/>
  <c r="D413" i="15"/>
  <c r="E316" i="40" s="1"/>
  <c r="D415" i="15"/>
  <c r="E318" i="40" s="1"/>
  <c r="D417" i="15"/>
  <c r="E320" i="40" s="1"/>
  <c r="D419" i="15"/>
  <c r="E322" i="40" s="1"/>
  <c r="D421" i="15"/>
  <c r="E324" i="40" s="1"/>
  <c r="D423" i="15"/>
  <c r="E326" i="40" s="1"/>
  <c r="D425" i="15"/>
  <c r="E328" i="40" s="1"/>
  <c r="D427" i="15"/>
  <c r="E330" i="40" s="1"/>
  <c r="D429" i="15"/>
  <c r="E332" i="40" s="1"/>
  <c r="D431" i="15"/>
  <c r="E334" i="40" s="1"/>
  <c r="D433" i="15"/>
  <c r="D435" i="15"/>
  <c r="D437" i="15"/>
  <c r="D439" i="15"/>
  <c r="D441" i="15"/>
  <c r="E344" i="40" s="1"/>
  <c r="D443" i="15"/>
  <c r="E346" i="40" s="1"/>
  <c r="D445" i="15"/>
  <c r="E348" i="40" s="1"/>
  <c r="D447" i="15"/>
  <c r="E350" i="40" s="1"/>
  <c r="E97" i="40"/>
  <c r="E93" i="40"/>
  <c r="E89" i="40"/>
  <c r="E100" i="40"/>
  <c r="E96" i="40"/>
  <c r="E92" i="40"/>
  <c r="E88" i="40"/>
  <c r="F213" i="15"/>
  <c r="E87" i="40"/>
  <c r="F280" i="14"/>
  <c r="E158" i="39"/>
  <c r="F276" i="14"/>
  <c r="E154" i="39"/>
  <c r="F272" i="14"/>
  <c r="E150" i="39"/>
  <c r="F268" i="14"/>
  <c r="E146" i="39"/>
  <c r="F264" i="14"/>
  <c r="E142" i="39"/>
  <c r="F279" i="14"/>
  <c r="E157" i="39"/>
  <c r="F275" i="14"/>
  <c r="E153" i="39"/>
  <c r="F271" i="14"/>
  <c r="E149" i="39"/>
  <c r="E145" i="39"/>
  <c r="F263" i="14"/>
  <c r="E141" i="39"/>
  <c r="E405" i="39"/>
  <c r="F513" i="14"/>
  <c r="E401" i="39"/>
  <c r="F509" i="14"/>
  <c r="E397" i="39"/>
  <c r="F505" i="14"/>
  <c r="E406" i="39"/>
  <c r="F514" i="14"/>
  <c r="E402" i="39"/>
  <c r="F510" i="14"/>
  <c r="E398" i="39"/>
  <c r="F506" i="14"/>
  <c r="F278" i="14"/>
  <c r="E156" i="39"/>
  <c r="F274" i="14"/>
  <c r="E152" i="39"/>
  <c r="F270" i="14"/>
  <c r="E148" i="39"/>
  <c r="F266" i="14"/>
  <c r="E144" i="39"/>
  <c r="F262" i="14"/>
  <c r="E140" i="39"/>
  <c r="F277" i="14"/>
  <c r="E155" i="39"/>
  <c r="E151" i="39"/>
  <c r="F269" i="14"/>
  <c r="E147" i="39"/>
  <c r="F265" i="14"/>
  <c r="E143" i="39"/>
  <c r="F515" i="14"/>
  <c r="E407" i="39"/>
  <c r="F511" i="14"/>
  <c r="E403" i="39"/>
  <c r="F507" i="14"/>
  <c r="E399" i="39"/>
  <c r="E404" i="39"/>
  <c r="F512" i="14"/>
  <c r="E400" i="39"/>
  <c r="F508" i="14"/>
  <c r="E381" i="38"/>
  <c r="E377" i="38"/>
  <c r="E373" i="38"/>
  <c r="E369" i="38"/>
  <c r="E365" i="38"/>
  <c r="E378" i="38"/>
  <c r="E374" i="38"/>
  <c r="E370" i="38"/>
  <c r="E366" i="38"/>
  <c r="E385" i="38"/>
  <c r="E383" i="38"/>
  <c r="E386" i="38"/>
  <c r="E382" i="38"/>
  <c r="E379" i="38"/>
  <c r="E375" i="38"/>
  <c r="E371" i="38"/>
  <c r="E367" i="38"/>
  <c r="E380" i="38"/>
  <c r="E376" i="38"/>
  <c r="E372" i="38"/>
  <c r="E368" i="38"/>
  <c r="E364" i="38"/>
  <c r="E389" i="38"/>
  <c r="E387" i="38"/>
  <c r="E388" i="38"/>
  <c r="E384" i="38"/>
  <c r="F310" i="14"/>
  <c r="F313" i="14"/>
  <c r="F312" i="14"/>
  <c r="E146" i="40"/>
  <c r="E141" i="40"/>
  <c r="E130" i="40"/>
  <c r="F240" i="15"/>
  <c r="E140" i="40"/>
  <c r="E135" i="40"/>
  <c r="F195" i="15"/>
  <c r="F199" i="15"/>
  <c r="F194" i="15"/>
  <c r="F198" i="15"/>
  <c r="E72" i="40"/>
  <c r="F197" i="15"/>
  <c r="F209" i="15"/>
  <c r="F196" i="15"/>
  <c r="E79" i="40"/>
  <c r="F502" i="14"/>
  <c r="F498" i="14"/>
  <c r="F494" i="14"/>
  <c r="F490" i="14"/>
  <c r="F501" i="14"/>
  <c r="F497" i="14"/>
  <c r="F493" i="14"/>
  <c r="F504" i="14"/>
  <c r="F500" i="14"/>
  <c r="F496" i="14"/>
  <c r="F492" i="14"/>
  <c r="F503" i="14"/>
  <c r="F499" i="14"/>
  <c r="F495" i="14"/>
  <c r="F491" i="14"/>
  <c r="F294" i="14"/>
  <c r="F299" i="14"/>
  <c r="F305" i="14"/>
  <c r="F311" i="14"/>
  <c r="F257" i="14"/>
  <c r="F298" i="14"/>
  <c r="E190" i="39"/>
  <c r="F295" i="14"/>
  <c r="E187" i="39"/>
  <c r="F481" i="14"/>
  <c r="F467" i="14"/>
  <c r="F451" i="14"/>
  <c r="F261" i="14"/>
  <c r="F291" i="14"/>
  <c r="E183" i="39"/>
  <c r="F296" i="14"/>
  <c r="E188" i="39"/>
  <c r="F297" i="14"/>
  <c r="E189" i="39"/>
  <c r="F303" i="14"/>
  <c r="E195" i="39"/>
  <c r="F485" i="14"/>
  <c r="F477" i="14"/>
  <c r="F471" i="14"/>
  <c r="F461" i="14"/>
  <c r="F455" i="14"/>
  <c r="F447" i="14"/>
  <c r="F439" i="14"/>
  <c r="F433" i="14"/>
  <c r="F486" i="14"/>
  <c r="F482" i="14"/>
  <c r="F478" i="14"/>
  <c r="F474" i="14"/>
  <c r="F470" i="14"/>
  <c r="F466" i="14"/>
  <c r="F462" i="14"/>
  <c r="F458" i="14"/>
  <c r="F454" i="14"/>
  <c r="F450" i="14"/>
  <c r="F446" i="14"/>
  <c r="F442" i="14"/>
  <c r="F438" i="14"/>
  <c r="F434" i="14"/>
  <c r="F430" i="14"/>
  <c r="F483" i="14"/>
  <c r="F473" i="14"/>
  <c r="F465" i="14"/>
  <c r="F457" i="14"/>
  <c r="F449" i="14"/>
  <c r="F441" i="14"/>
  <c r="F431" i="14"/>
  <c r="F260" i="14"/>
  <c r="F258" i="14"/>
  <c r="F489" i="14"/>
  <c r="F475" i="14"/>
  <c r="F459" i="14"/>
  <c r="F443" i="14"/>
  <c r="F437" i="14"/>
  <c r="F488" i="14"/>
  <c r="F484" i="14"/>
  <c r="F480" i="14"/>
  <c r="F476" i="14"/>
  <c r="F472" i="14"/>
  <c r="F468" i="14"/>
  <c r="F464" i="14"/>
  <c r="F460" i="14"/>
  <c r="F456" i="14"/>
  <c r="F452" i="14"/>
  <c r="F448" i="14"/>
  <c r="F444" i="14"/>
  <c r="F440" i="14"/>
  <c r="F436" i="14"/>
  <c r="F432" i="14"/>
  <c r="E199" i="39"/>
  <c r="F487" i="14"/>
  <c r="F479" i="14"/>
  <c r="F469" i="14"/>
  <c r="F463" i="14"/>
  <c r="F453" i="14"/>
  <c r="F445" i="14"/>
  <c r="F435" i="14"/>
  <c r="E172" i="38"/>
  <c r="E181" i="38"/>
  <c r="E180" i="38"/>
  <c r="E362" i="38"/>
  <c r="E358" i="38"/>
  <c r="E353" i="38"/>
  <c r="E345" i="38"/>
  <c r="E337" i="38"/>
  <c r="E329" i="38"/>
  <c r="E321" i="38"/>
  <c r="E313" i="38"/>
  <c r="E183" i="38"/>
  <c r="E361" i="38"/>
  <c r="E357" i="38"/>
  <c r="E351" i="38"/>
  <c r="E343" i="38"/>
  <c r="E335" i="38"/>
  <c r="E327" i="38"/>
  <c r="E319" i="38"/>
  <c r="E311" i="38"/>
  <c r="E354" i="38"/>
  <c r="E350" i="38"/>
  <c r="E346" i="38"/>
  <c r="E342" i="38"/>
  <c r="E338" i="38"/>
  <c r="E334" i="38"/>
  <c r="E330" i="38"/>
  <c r="E326" i="38"/>
  <c r="E322" i="38"/>
  <c r="E318" i="38"/>
  <c r="E314" i="38"/>
  <c r="E310" i="38"/>
  <c r="E171" i="38"/>
  <c r="E168" i="38"/>
  <c r="E170" i="38"/>
  <c r="E360" i="38"/>
  <c r="E356" i="38"/>
  <c r="E349" i="38"/>
  <c r="E341" i="38"/>
  <c r="E333" i="38"/>
  <c r="E325" i="38"/>
  <c r="E317" i="38"/>
  <c r="E182" i="38"/>
  <c r="E363" i="38"/>
  <c r="E359" i="38"/>
  <c r="E355" i="38"/>
  <c r="E347" i="38"/>
  <c r="E339" i="38"/>
  <c r="E331" i="38"/>
  <c r="E323" i="38"/>
  <c r="E315" i="38"/>
  <c r="E352" i="38"/>
  <c r="E348" i="38"/>
  <c r="E344" i="38"/>
  <c r="E340" i="38"/>
  <c r="E336" i="38"/>
  <c r="E332" i="38"/>
  <c r="E328" i="38"/>
  <c r="E324" i="38"/>
  <c r="E320" i="38"/>
  <c r="E316" i="38"/>
  <c r="E312" i="38"/>
  <c r="E108" i="38"/>
  <c r="F259" i="14"/>
  <c r="F389" i="14"/>
  <c r="F385" i="14"/>
  <c r="F381" i="14"/>
  <c r="F377" i="14"/>
  <c r="F373" i="14"/>
  <c r="F369" i="14"/>
  <c r="F365" i="14"/>
  <c r="F361" i="14"/>
  <c r="F357" i="14"/>
  <c r="F353" i="14"/>
  <c r="F349" i="14"/>
  <c r="F397" i="14"/>
  <c r="F393" i="14"/>
  <c r="F405" i="14"/>
  <c r="F401" i="14"/>
  <c r="F414" i="14"/>
  <c r="F410" i="14"/>
  <c r="F406" i="14"/>
  <c r="F417" i="14"/>
  <c r="F427" i="14"/>
  <c r="F423" i="14"/>
  <c r="F386" i="14"/>
  <c r="F382" i="14"/>
  <c r="F378" i="14"/>
  <c r="F374" i="14"/>
  <c r="F370" i="14"/>
  <c r="F366" i="14"/>
  <c r="F362" i="14"/>
  <c r="F358" i="14"/>
  <c r="F354" i="14"/>
  <c r="F350" i="14"/>
  <c r="F398" i="14"/>
  <c r="F394" i="14"/>
  <c r="F390" i="14"/>
  <c r="F402" i="14"/>
  <c r="F415" i="14"/>
  <c r="F411" i="14"/>
  <c r="F407" i="14"/>
  <c r="F418" i="14"/>
  <c r="F428" i="14"/>
  <c r="F424" i="14"/>
  <c r="F256" i="14"/>
  <c r="F387" i="14"/>
  <c r="F383" i="14"/>
  <c r="F379" i="14"/>
  <c r="F375" i="14"/>
  <c r="F371" i="14"/>
  <c r="F367" i="14"/>
  <c r="F363" i="14"/>
  <c r="F359" i="14"/>
  <c r="F355" i="14"/>
  <c r="F351" i="14"/>
  <c r="F347" i="14"/>
  <c r="F395" i="14"/>
  <c r="F391" i="14"/>
  <c r="F403" i="14"/>
  <c r="F399" i="14"/>
  <c r="F412" i="14"/>
  <c r="F408" i="14"/>
  <c r="F419" i="14"/>
  <c r="F429" i="14"/>
  <c r="F425" i="14"/>
  <c r="F421" i="14"/>
  <c r="F388" i="14"/>
  <c r="F384" i="14"/>
  <c r="F380" i="14"/>
  <c r="F376" i="14"/>
  <c r="F372" i="14"/>
  <c r="F368" i="14"/>
  <c r="F364" i="14"/>
  <c r="F360" i="14"/>
  <c r="F356" i="14"/>
  <c r="F352" i="14"/>
  <c r="F348" i="14"/>
  <c r="F396" i="14"/>
  <c r="F392" i="14"/>
  <c r="F404" i="14"/>
  <c r="F400" i="14"/>
  <c r="F413" i="14"/>
  <c r="F409" i="14"/>
  <c r="F420" i="14"/>
  <c r="F416" i="14"/>
  <c r="F426" i="14"/>
  <c r="F422" i="14"/>
  <c r="G178" i="15"/>
  <c r="G23" i="37" s="1"/>
  <c r="F295" i="31"/>
  <c r="F287" i="31"/>
  <c r="F293" i="31"/>
  <c r="F288" i="31"/>
  <c r="F294" i="31"/>
  <c r="F286" i="31"/>
  <c r="F292" i="31"/>
  <c r="E181" i="39"/>
  <c r="F345" i="14"/>
  <c r="F341" i="14"/>
  <c r="F337" i="14"/>
  <c r="F333" i="14"/>
  <c r="F329" i="14"/>
  <c r="F325" i="14"/>
  <c r="F321" i="14"/>
  <c r="F317" i="14"/>
  <c r="F346" i="14"/>
  <c r="F342" i="14"/>
  <c r="F338" i="14"/>
  <c r="F334" i="14"/>
  <c r="F330" i="14"/>
  <c r="F326" i="14"/>
  <c r="F322" i="14"/>
  <c r="F318" i="14"/>
  <c r="F315" i="14"/>
  <c r="F343" i="14"/>
  <c r="F339" i="14"/>
  <c r="F335" i="14"/>
  <c r="F331" i="14"/>
  <c r="F327" i="14"/>
  <c r="F323" i="14"/>
  <c r="F319" i="14"/>
  <c r="F314" i="14"/>
  <c r="F344" i="14"/>
  <c r="F340" i="14"/>
  <c r="F336" i="14"/>
  <c r="F332" i="14"/>
  <c r="F328" i="14"/>
  <c r="F324" i="14"/>
  <c r="F320" i="14"/>
  <c r="F316" i="14"/>
  <c r="F307" i="31"/>
  <c r="F303" i="31"/>
  <c r="F299" i="31"/>
  <c r="F306" i="31"/>
  <c r="F302" i="31"/>
  <c r="F297" i="31"/>
  <c r="F305" i="31"/>
  <c r="F301" i="31"/>
  <c r="F298" i="31"/>
  <c r="F300" i="31"/>
  <c r="F273" i="31"/>
  <c r="F275" i="31"/>
  <c r="F276" i="31"/>
  <c r="F280" i="31"/>
  <c r="E163" i="38"/>
  <c r="F271" i="31"/>
  <c r="F277" i="31"/>
  <c r="F281" i="31"/>
  <c r="F296" i="31"/>
  <c r="F281" i="14" l="1"/>
  <c r="E161" i="38"/>
  <c r="F269" i="31"/>
  <c r="E162" i="38"/>
  <c r="F270" i="31"/>
  <c r="F221" i="15"/>
  <c r="E124" i="40"/>
  <c r="F220" i="15"/>
  <c r="E123" i="40"/>
  <c r="F388" i="15"/>
  <c r="F282" i="31"/>
  <c r="F383" i="15"/>
  <c r="F283" i="31"/>
  <c r="E175" i="38"/>
  <c r="E128" i="40"/>
  <c r="F225" i="15"/>
  <c r="E138" i="40"/>
  <c r="F235" i="15"/>
  <c r="E362" i="40"/>
  <c r="F459" i="15"/>
  <c r="E358" i="40"/>
  <c r="F455" i="15"/>
  <c r="E354" i="40"/>
  <c r="F451" i="15"/>
  <c r="E137" i="40"/>
  <c r="F234" i="15"/>
  <c r="F460" i="15"/>
  <c r="E363" i="40"/>
  <c r="F456" i="15"/>
  <c r="E359" i="40"/>
  <c r="F452" i="15"/>
  <c r="E355" i="40"/>
  <c r="E126" i="40"/>
  <c r="F223" i="15"/>
  <c r="E360" i="40"/>
  <c r="F457" i="15"/>
  <c r="E356" i="40"/>
  <c r="F453" i="15"/>
  <c r="E352" i="40"/>
  <c r="F449" i="15"/>
  <c r="F458" i="15"/>
  <c r="E361" i="40"/>
  <c r="F454" i="15"/>
  <c r="E357" i="40"/>
  <c r="F450" i="15"/>
  <c r="E353" i="40"/>
  <c r="F279" i="31"/>
  <c r="F226" i="15"/>
  <c r="F227" i="15"/>
  <c r="F238" i="15"/>
  <c r="F437" i="15"/>
  <c r="E340" i="40"/>
  <c r="F433" i="15"/>
  <c r="E336" i="40"/>
  <c r="E343" i="40"/>
  <c r="F440" i="15"/>
  <c r="E339" i="40"/>
  <c r="F436" i="15"/>
  <c r="F439" i="15"/>
  <c r="E342" i="40"/>
  <c r="F435" i="15"/>
  <c r="E338" i="40"/>
  <c r="E341" i="40"/>
  <c r="F438" i="15"/>
  <c r="E337" i="40"/>
  <c r="F434" i="15"/>
  <c r="F289" i="31"/>
  <c r="F373" i="15"/>
  <c r="F370" i="15"/>
  <c r="F381" i="15"/>
  <c r="F365" i="15"/>
  <c r="F380" i="15"/>
  <c r="F361" i="15"/>
  <c r="F243" i="15"/>
  <c r="F374" i="15"/>
  <c r="F237" i="15"/>
  <c r="F385" i="15"/>
  <c r="F377" i="15"/>
  <c r="F369" i="15"/>
  <c r="F362" i="15"/>
  <c r="F386" i="15"/>
  <c r="F378" i="15"/>
  <c r="F372" i="15"/>
  <c r="F364" i="15"/>
  <c r="F375" i="15"/>
  <c r="F382" i="15"/>
  <c r="F366" i="15"/>
  <c r="F228" i="15"/>
  <c r="E131" i="40"/>
  <c r="F231" i="15"/>
  <c r="E134" i="40"/>
  <c r="F239" i="15"/>
  <c r="E142" i="40"/>
  <c r="F230" i="15"/>
  <c r="E133" i="40"/>
  <c r="F236" i="15"/>
  <c r="E139" i="40"/>
  <c r="F210" i="15"/>
  <c r="E143" i="40"/>
  <c r="F419" i="15"/>
  <c r="F415" i="15"/>
  <c r="F408" i="15"/>
  <c r="F400" i="15"/>
  <c r="F392" i="15"/>
  <c r="F352" i="15"/>
  <c r="F344" i="15"/>
  <c r="F336" i="15"/>
  <c r="F328" i="15"/>
  <c r="F320" i="15"/>
  <c r="F312" i="15"/>
  <c r="F304" i="15"/>
  <c r="F296" i="15"/>
  <c r="F288" i="15"/>
  <c r="F280" i="15"/>
  <c r="F272" i="15"/>
  <c r="F248" i="15"/>
  <c r="F422" i="15"/>
  <c r="F418" i="15"/>
  <c r="F414" i="15"/>
  <c r="F406" i="15"/>
  <c r="F398" i="15"/>
  <c r="F390" i="15"/>
  <c r="F358" i="15"/>
  <c r="F350" i="15"/>
  <c r="F342" i="15"/>
  <c r="F334" i="15"/>
  <c r="F326" i="15"/>
  <c r="F318" i="15"/>
  <c r="F310" i="15"/>
  <c r="F302" i="15"/>
  <c r="F294" i="15"/>
  <c r="F286" i="15"/>
  <c r="F278" i="15"/>
  <c r="F270" i="15"/>
  <c r="F254" i="15"/>
  <c r="F246" i="15"/>
  <c r="F411" i="15"/>
  <c r="F407" i="15"/>
  <c r="F403" i="15"/>
  <c r="F399" i="15"/>
  <c r="F395" i="15"/>
  <c r="F391" i="15"/>
  <c r="F359" i="15"/>
  <c r="F355" i="15"/>
  <c r="F351" i="15"/>
  <c r="F347" i="15"/>
  <c r="F343" i="15"/>
  <c r="F339" i="15"/>
  <c r="F335" i="15"/>
  <c r="F331" i="15"/>
  <c r="F327" i="15"/>
  <c r="F323" i="15"/>
  <c r="F319" i="15"/>
  <c r="F315" i="15"/>
  <c r="F311" i="15"/>
  <c r="F307" i="15"/>
  <c r="F303" i="15"/>
  <c r="F299" i="15"/>
  <c r="F295" i="15"/>
  <c r="F291" i="15"/>
  <c r="F287" i="15"/>
  <c r="F283" i="15"/>
  <c r="F279" i="15"/>
  <c r="F275" i="15"/>
  <c r="F271" i="15"/>
  <c r="F267" i="15"/>
  <c r="F255" i="15"/>
  <c r="F251" i="15"/>
  <c r="F247" i="15"/>
  <c r="F448" i="15"/>
  <c r="F444" i="15"/>
  <c r="F432" i="15"/>
  <c r="F428" i="15"/>
  <c r="F424" i="15"/>
  <c r="F445" i="15"/>
  <c r="F441" i="15"/>
  <c r="F429" i="15"/>
  <c r="F425" i="15"/>
  <c r="F224" i="15"/>
  <c r="E127" i="40"/>
  <c r="F229" i="15"/>
  <c r="E132" i="40"/>
  <c r="F233" i="15"/>
  <c r="F387" i="15"/>
  <c r="F379" i="15"/>
  <c r="F371" i="15"/>
  <c r="F367" i="15"/>
  <c r="F363" i="15"/>
  <c r="F360" i="15"/>
  <c r="F232" i="15"/>
  <c r="F384" i="15"/>
  <c r="F376" i="15"/>
  <c r="F368" i="15"/>
  <c r="F205" i="15"/>
  <c r="E81" i="40"/>
  <c r="E80" i="40"/>
  <c r="F421" i="15"/>
  <c r="F417" i="15"/>
  <c r="F412" i="15"/>
  <c r="F404" i="15"/>
  <c r="F396" i="15"/>
  <c r="F356" i="15"/>
  <c r="F348" i="15"/>
  <c r="F340" i="15"/>
  <c r="F332" i="15"/>
  <c r="F324" i="15"/>
  <c r="F316" i="15"/>
  <c r="F308" i="15"/>
  <c r="F300" i="15"/>
  <c r="F292" i="15"/>
  <c r="F284" i="15"/>
  <c r="F276" i="15"/>
  <c r="F268" i="15"/>
  <c r="F252" i="15"/>
  <c r="F244" i="15"/>
  <c r="F420" i="15"/>
  <c r="F416" i="15"/>
  <c r="F410" i="15"/>
  <c r="F402" i="15"/>
  <c r="F394" i="15"/>
  <c r="F354" i="15"/>
  <c r="F346" i="15"/>
  <c r="F338" i="15"/>
  <c r="F330" i="15"/>
  <c r="F322" i="15"/>
  <c r="F314" i="15"/>
  <c r="F306" i="15"/>
  <c r="F298" i="15"/>
  <c r="F290" i="15"/>
  <c r="F282" i="15"/>
  <c r="F274" i="15"/>
  <c r="F266" i="15"/>
  <c r="F250" i="15"/>
  <c r="F413" i="15"/>
  <c r="F409" i="15"/>
  <c r="F405" i="15"/>
  <c r="F401" i="15"/>
  <c r="F397" i="15"/>
  <c r="F393" i="15"/>
  <c r="F389" i="15"/>
  <c r="F357" i="15"/>
  <c r="F353" i="15"/>
  <c r="F349" i="15"/>
  <c r="F345" i="15"/>
  <c r="F341" i="15"/>
  <c r="F337" i="15"/>
  <c r="F333" i="15"/>
  <c r="F329" i="15"/>
  <c r="F325" i="15"/>
  <c r="F321" i="15"/>
  <c r="F317" i="15"/>
  <c r="F313" i="15"/>
  <c r="F309" i="15"/>
  <c r="F305" i="15"/>
  <c r="F301" i="15"/>
  <c r="F297" i="15"/>
  <c r="F293" i="15"/>
  <c r="F289" i="15"/>
  <c r="F285" i="15"/>
  <c r="F281" i="15"/>
  <c r="F277" i="15"/>
  <c r="F273" i="15"/>
  <c r="F269" i="15"/>
  <c r="F265" i="15"/>
  <c r="F253" i="15"/>
  <c r="F249" i="15"/>
  <c r="F245" i="15"/>
  <c r="F446" i="15"/>
  <c r="F442" i="15"/>
  <c r="F430" i="15"/>
  <c r="F426" i="15"/>
  <c r="F447" i="15"/>
  <c r="F443" i="15"/>
  <c r="F431" i="15"/>
  <c r="F427" i="15"/>
  <c r="F423" i="15"/>
  <c r="E201" i="39"/>
  <c r="F309" i="14"/>
  <c r="E200" i="39"/>
  <c r="F308" i="14"/>
  <c r="F278" i="31"/>
  <c r="E174" i="38"/>
  <c r="E125" i="40"/>
  <c r="F534" i="14" l="1"/>
  <c r="J15" i="37" s="1"/>
  <c r="F207" i="15"/>
  <c r="F206" i="15"/>
  <c r="F208" i="15"/>
  <c r="E144" i="40"/>
  <c r="F241" i="15"/>
  <c r="E177" i="38"/>
  <c r="F285" i="31"/>
  <c r="E121" i="39"/>
  <c r="F214" i="15" l="1"/>
  <c r="F521" i="31"/>
  <c r="J8" i="37" s="1"/>
  <c r="E145" i="40"/>
  <c r="F242" i="15"/>
  <c r="E15" i="37"/>
  <c r="F204" i="14"/>
  <c r="D241" i="14"/>
  <c r="F467" i="15" l="1"/>
  <c r="J23" i="37" s="1"/>
  <c r="G241" i="14"/>
  <c r="E179" i="39"/>
  <c r="G221" i="14"/>
  <c r="G48" i="14"/>
  <c r="G47" i="14"/>
  <c r="G242" i="14" l="1"/>
  <c r="H15" i="37" s="1"/>
  <c r="G15" i="37" l="1"/>
  <c r="A1" i="15" l="1"/>
  <c r="A1" i="31" s="1"/>
  <c r="J43" i="14" l="1"/>
  <c r="D12" i="14"/>
  <c r="D10" i="14"/>
  <c r="A25" i="14" l="1"/>
  <c r="D23" i="37" l="1"/>
  <c r="D15" i="37"/>
  <c r="F201" i="31"/>
  <c r="G201" i="31" s="1"/>
  <c r="F46" i="14"/>
  <c r="G46" i="14" s="1"/>
  <c r="F48" i="15"/>
  <c r="G56" i="31"/>
  <c r="B8" i="37" s="1"/>
  <c r="K8" i="37" s="1"/>
  <c r="G48" i="15" l="1"/>
  <c r="G52" i="15" s="1"/>
  <c r="F164" i="15"/>
  <c r="G164" i="15" l="1"/>
  <c r="G167" i="15" s="1"/>
  <c r="B23" i="37" s="1"/>
  <c r="K23" i="37" s="1"/>
  <c r="F220" i="14"/>
  <c r="G220" i="14" s="1"/>
  <c r="G223" i="14" s="1"/>
  <c r="B15" i="37" s="1"/>
  <c r="K15" i="37" s="1"/>
  <c r="O10" i="37" l="1"/>
  <c r="O11" i="37" s="1"/>
  <c r="A369" i="15"/>
  <c r="A436" i="14"/>
  <c r="A488" i="14"/>
  <c r="A421" i="15"/>
  <c r="A322" i="15"/>
  <c r="A389" i="14"/>
  <c r="A359" i="14"/>
  <c r="A292" i="15"/>
  <c r="A451" i="14"/>
  <c r="A384" i="15"/>
  <c r="A357" i="15"/>
  <c r="A424" i="14"/>
  <c r="A360" i="14"/>
  <c r="A293" i="15"/>
  <c r="A517" i="14"/>
  <c r="A450" i="15"/>
  <c r="A477" i="14"/>
  <c r="A410" i="15"/>
  <c r="A276" i="15"/>
  <c r="A343" i="14"/>
  <c r="A476" i="14"/>
  <c r="A409" i="15"/>
  <c r="A440" i="15"/>
  <c r="A507" i="14"/>
  <c r="A385" i="14"/>
  <c r="A318" i="15"/>
  <c r="A350" i="15"/>
  <c r="A417" i="14"/>
  <c r="A333" i="15"/>
  <c r="A400" i="14"/>
  <c r="A451" i="15"/>
  <c r="A518" i="14"/>
  <c r="A334" i="15"/>
  <c r="A401" i="14"/>
  <c r="A320" i="15"/>
  <c r="A387" i="14"/>
  <c r="A366" i="15"/>
  <c r="A433" i="14"/>
  <c r="A315" i="15"/>
  <c r="A382" i="14"/>
  <c r="A524" i="14"/>
  <c r="A457" i="15"/>
  <c r="A285" i="15"/>
  <c r="A352" i="14"/>
  <c r="A411" i="14"/>
  <c r="A344" i="15"/>
  <c r="A458" i="15"/>
  <c r="A525" i="14"/>
  <c r="A330" i="15"/>
  <c r="A397" i="14"/>
  <c r="A349" i="14"/>
  <c r="A282" i="15"/>
  <c r="A487" i="14"/>
  <c r="A420" i="15"/>
  <c r="A298" i="15"/>
  <c r="A365" i="14"/>
  <c r="A465" i="15"/>
  <c r="A532" i="14"/>
  <c r="A412" i="15"/>
  <c r="A479" i="14"/>
  <c r="A319" i="15"/>
  <c r="A386" i="14"/>
  <c r="A475" i="14"/>
  <c r="A408" i="15"/>
  <c r="A363" i="14"/>
  <c r="A296" i="15"/>
  <c r="A385" i="15"/>
  <c r="A452" i="14"/>
  <c r="A493" i="14"/>
  <c r="A426" i="15"/>
  <c r="A496" i="14"/>
  <c r="A429" i="15"/>
  <c r="A272" i="15"/>
  <c r="A339" i="14"/>
  <c r="A444" i="14"/>
  <c r="A377" i="15"/>
  <c r="A355" i="15"/>
  <c r="A422" i="14"/>
  <c r="A391" i="14"/>
  <c r="A324" i="15"/>
  <c r="A533" i="14"/>
  <c r="A466" i="15"/>
  <c r="A367" i="14"/>
  <c r="A300" i="15"/>
  <c r="A459" i="15"/>
  <c r="A526" i="14"/>
  <c r="A380" i="14"/>
  <c r="A313" i="15"/>
  <c r="A378" i="15"/>
  <c r="A445" i="14"/>
  <c r="A415" i="14"/>
  <c r="A348" i="15"/>
  <c r="A467" i="14"/>
  <c r="A400" i="15"/>
  <c r="A508" i="14"/>
  <c r="A441" i="15"/>
  <c r="A466" i="14"/>
  <c r="A399" i="15"/>
  <c r="A444" i="15"/>
  <c r="A511" i="14"/>
  <c r="A423" i="15"/>
  <c r="A490" i="14"/>
  <c r="A427" i="14"/>
  <c r="A360" i="15"/>
  <c r="A383" i="15"/>
  <c r="A450" i="14"/>
  <c r="A447" i="15"/>
  <c r="A514" i="14"/>
  <c r="A428" i="14"/>
  <c r="A361" i="15"/>
  <c r="A321" i="15"/>
  <c r="A388" i="14"/>
  <c r="A364" i="15"/>
  <c r="A431" i="14"/>
  <c r="A416" i="14"/>
  <c r="A349" i="15"/>
  <c r="A337" i="15"/>
  <c r="A404" i="14"/>
  <c r="A498" i="14"/>
  <c r="A431" i="15"/>
  <c r="A351" i="15"/>
  <c r="A418" i="14"/>
  <c r="A379" i="15"/>
  <c r="A446" i="14"/>
  <c r="A404" i="15"/>
  <c r="A471" i="14"/>
  <c r="A369" i="14"/>
  <c r="A302" i="15"/>
  <c r="A376" i="15"/>
  <c r="A443" i="14"/>
  <c r="A273" i="15"/>
  <c r="A340" i="14"/>
  <c r="A421" i="14"/>
  <c r="A354" i="15"/>
  <c r="A374" i="14"/>
  <c r="A307" i="15"/>
  <c r="A432" i="15"/>
  <c r="A499" i="14"/>
  <c r="A460" i="15"/>
  <c r="A527" i="14"/>
  <c r="A495" i="14"/>
  <c r="A428" i="15"/>
  <c r="A502" i="14"/>
  <c r="A435" i="15"/>
  <c r="A486" i="14"/>
  <c r="A419" i="15"/>
  <c r="A432" i="14"/>
  <c r="A365" i="15"/>
  <c r="A362" i="15"/>
  <c r="A429" i="14"/>
  <c r="A341" i="15"/>
  <c r="A408" i="14"/>
  <c r="A335" i="15"/>
  <c r="A402" i="14"/>
  <c r="A309" i="15"/>
  <c r="A376" i="14"/>
  <c r="A345" i="15"/>
  <c r="A412" i="14"/>
  <c r="A371" i="14"/>
  <c r="A304" i="15"/>
  <c r="A480" i="14"/>
  <c r="A413" i="15"/>
  <c r="A395" i="14"/>
  <c r="A328" i="15"/>
  <c r="A283" i="15"/>
  <c r="A350" i="14"/>
  <c r="A398" i="15"/>
  <c r="A465" i="14"/>
  <c r="A469" i="14"/>
  <c r="A402" i="15"/>
  <c r="A347" i="14"/>
  <c r="A280" i="15"/>
  <c r="A456" i="14"/>
  <c r="A389" i="15"/>
  <c r="A289" i="15"/>
  <c r="A356" i="14"/>
  <c r="A346" i="14"/>
  <c r="A279" i="15"/>
  <c r="A447" i="14"/>
  <c r="A380" i="15"/>
  <c r="A424" i="15"/>
  <c r="A491" i="14"/>
  <c r="A351" i="14"/>
  <c r="A284" i="15"/>
  <c r="A388" i="15"/>
  <c r="A455" i="14"/>
  <c r="A403" i="14"/>
  <c r="A336" i="15"/>
  <c r="A485" i="14"/>
  <c r="A418" i="15"/>
  <c r="A528" i="14"/>
  <c r="A461" i="15"/>
  <c r="A512" i="14"/>
  <c r="A445" i="15"/>
  <c r="A396" i="14"/>
  <c r="A329" i="15"/>
  <c r="A492" i="14"/>
  <c r="A425" i="15"/>
  <c r="A521" i="14"/>
  <c r="A454" i="15"/>
  <c r="A425" i="14"/>
  <c r="A358" i="15"/>
  <c r="A381" i="14"/>
  <c r="A314" i="15"/>
  <c r="A455" i="15"/>
  <c r="A522" i="14"/>
  <c r="A395" i="15"/>
  <c r="A462" i="14"/>
  <c r="A352" i="15"/>
  <c r="A419" i="14"/>
  <c r="A306" i="15"/>
  <c r="A373" i="14"/>
  <c r="A407" i="14"/>
  <c r="A340" i="15"/>
  <c r="A461" i="14"/>
  <c r="A394" i="15"/>
  <c r="A456" i="15"/>
  <c r="A523" i="14"/>
  <c r="A416" i="15"/>
  <c r="A483" i="14"/>
  <c r="A339" i="15"/>
  <c r="A406" i="14"/>
  <c r="A405" i="15"/>
  <c r="A472" i="14"/>
  <c r="A343" i="15"/>
  <c r="A410" i="14"/>
  <c r="A286" i="15"/>
  <c r="A353" i="14"/>
  <c r="A267" i="15"/>
  <c r="A334" i="14"/>
  <c r="A478" i="14"/>
  <c r="A411" i="15"/>
  <c r="A269" i="15"/>
  <c r="A336" i="14"/>
  <c r="A305" i="15"/>
  <c r="A372" i="14"/>
  <c r="A504" i="14"/>
  <c r="A437" i="15"/>
  <c r="A372" i="15"/>
  <c r="A439" i="14"/>
  <c r="A297" i="15"/>
  <c r="A364" i="14"/>
  <c r="A354" i="14"/>
  <c r="A287" i="15"/>
  <c r="A442" i="15"/>
  <c r="A509" i="14"/>
  <c r="A316" i="15"/>
  <c r="A383" i="14"/>
  <c r="A516" i="14"/>
  <c r="A449" i="15"/>
  <c r="A489" i="14"/>
  <c r="A422" i="15"/>
  <c r="A299" i="15"/>
  <c r="A366" i="14"/>
  <c r="A394" i="14"/>
  <c r="A327" i="15"/>
  <c r="A353" i="15"/>
  <c r="A420" i="14"/>
  <c r="A294" i="15"/>
  <c r="A361" i="14"/>
  <c r="A277" i="15"/>
  <c r="A344" i="14"/>
  <c r="A473" i="14"/>
  <c r="A406" i="15"/>
  <c r="A274" i="15"/>
  <c r="A341" i="14"/>
  <c r="A415" i="15"/>
  <c r="A482" i="14"/>
  <c r="A505" i="14"/>
  <c r="A438" i="15"/>
  <c r="A387" i="15"/>
  <c r="A454" i="14"/>
  <c r="A457" i="14"/>
  <c r="A390" i="15"/>
  <c r="A290" i="15"/>
  <c r="A357" i="14"/>
  <c r="A342" i="15"/>
  <c r="A409" i="14"/>
  <c r="A373" i="15"/>
  <c r="A440" i="14"/>
  <c r="A378" i="14"/>
  <c r="A311" i="15"/>
  <c r="A367" i="15"/>
  <c r="A434" i="14"/>
  <c r="A436" i="15"/>
  <c r="A503" i="14"/>
  <c r="A464" i="14"/>
  <c r="A397" i="15"/>
  <c r="A414" i="14"/>
  <c r="A347" i="15"/>
  <c r="A374" i="15"/>
  <c r="A441" i="14"/>
  <c r="A443" i="15"/>
  <c r="A510" i="14"/>
  <c r="A506" i="14"/>
  <c r="A439" i="15"/>
  <c r="A335" i="14"/>
  <c r="A268" i="15"/>
  <c r="A392" i="15"/>
  <c r="A459" i="14"/>
  <c r="A529" i="14"/>
  <c r="A462" i="15"/>
  <c r="A437" i="14"/>
  <c r="A370" i="15"/>
  <c r="A382" i="15"/>
  <c r="A449" i="14"/>
  <c r="A430" i="15"/>
  <c r="A497" i="14"/>
  <c r="A342" i="14"/>
  <c r="A275" i="15"/>
  <c r="A301" i="15"/>
  <c r="A368" i="14"/>
  <c r="A474" i="14"/>
  <c r="A407" i="15"/>
  <c r="A377" i="14"/>
  <c r="A310" i="15"/>
  <c r="A423" i="14"/>
  <c r="A356" i="15"/>
  <c r="A384" i="14"/>
  <c r="A317" i="15"/>
  <c r="A371" i="15"/>
  <c r="A438" i="14"/>
  <c r="A464" i="15"/>
  <c r="A531" i="14"/>
  <c r="A452" i="15"/>
  <c r="A519" i="14"/>
  <c r="A326" i="15"/>
  <c r="A393" i="14"/>
  <c r="A453" i="15"/>
  <c r="A520" i="14"/>
  <c r="A346" i="15"/>
  <c r="A413" i="14"/>
  <c r="A501" i="14"/>
  <c r="A434" i="15"/>
  <c r="A331" i="15"/>
  <c r="A398" i="14"/>
  <c r="A463" i="15"/>
  <c r="A530" i="14"/>
  <c r="A458" i="14"/>
  <c r="A391" i="15"/>
  <c r="A270" i="15"/>
  <c r="A337" i="14"/>
  <c r="A288" i="15"/>
  <c r="A355" i="14"/>
  <c r="A312" i="15"/>
  <c r="A379" i="14"/>
  <c r="A332" i="15"/>
  <c r="A399" i="14"/>
  <c r="A427" i="15"/>
  <c r="A494" i="14"/>
  <c r="A426" i="14"/>
  <c r="A359" i="15"/>
  <c r="A370" i="14"/>
  <c r="A303" i="15"/>
  <c r="A460" i="14"/>
  <c r="A393" i="15"/>
  <c r="A390" i="14"/>
  <c r="A323" i="15"/>
  <c r="A401" i="15"/>
  <c r="A468" i="14"/>
  <c r="A481" i="14"/>
  <c r="A414" i="15"/>
  <c r="A500" i="14"/>
  <c r="A433" i="15"/>
  <c r="A375" i="15"/>
  <c r="A442" i="14"/>
  <c r="A362" i="14"/>
  <c r="A295" i="15"/>
  <c r="A453" i="14"/>
  <c r="A386" i="15"/>
  <c r="A332" i="14"/>
  <c r="A265" i="15"/>
  <c r="A363" i="15"/>
  <c r="A430" i="14"/>
  <c r="A405" i="14"/>
  <c r="A338" i="15"/>
  <c r="A435" i="14"/>
  <c r="A368" i="15"/>
  <c r="A417" i="15"/>
  <c r="A484" i="14"/>
  <c r="A392" i="14"/>
  <c r="A325" i="15"/>
  <c r="A403" i="15"/>
  <c r="A470" i="14"/>
  <c r="A448" i="14"/>
  <c r="A381" i="15"/>
  <c r="A345" i="14"/>
  <c r="A278" i="15"/>
  <c r="A515" i="14"/>
  <c r="A448" i="15"/>
  <c r="A396" i="15"/>
  <c r="A463" i="14"/>
  <c r="A348" i="14"/>
  <c r="A281" i="15"/>
  <c r="A271" i="15"/>
  <c r="A338" i="14"/>
  <c r="A446" i="15"/>
  <c r="A513" i="14"/>
  <c r="A308" i="15"/>
  <c r="A375" i="14"/>
  <c r="A333" i="14"/>
  <c r="A266" i="15"/>
  <c r="A358" i="14"/>
  <c r="A291" i="1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B8" authorId="0" shapeId="0" xr:uid="{15A160B2-7423-4DBD-80D3-94D456B476ED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команд сотрудников, непосредственно связ-х
</t>
        </r>
      </text>
    </comment>
  </commentList>
</comments>
</file>

<file path=xl/sharedStrings.xml><?xml version="1.0" encoding="utf-8"?>
<sst xmlns="http://schemas.openxmlformats.org/spreadsheetml/2006/main" count="2297" uniqueCount="536">
  <si>
    <t>Должности по штатному расписанию</t>
  </si>
  <si>
    <t>З/п на одну ставку (ФОТ)</t>
  </si>
  <si>
    <t>Кол-во ставок</t>
  </si>
  <si>
    <t>Количество затраченных человеко-часов</t>
  </si>
  <si>
    <t>кол-во ставок)</t>
  </si>
  <si>
    <t>Стоимость 1 человека-часа</t>
  </si>
  <si>
    <t>Нормативные затраты</t>
  </si>
  <si>
    <t>6 = 4 ÷ 5</t>
  </si>
  <si>
    <t>ИТОГО ОПЛАТА ТРУДА</t>
  </si>
  <si>
    <t>Количество ставок</t>
  </si>
  <si>
    <t>Работники, непосредственно НЕ связанные с оказанием услуги</t>
  </si>
  <si>
    <t>Ед. изм. нормы</t>
  </si>
  <si>
    <t>Затраты на коммунальные услуги</t>
  </si>
  <si>
    <t>Наименование коммунальных услуг</t>
  </si>
  <si>
    <t>Норматив-ный объем</t>
  </si>
  <si>
    <t>Тариф (цена), рублей</t>
  </si>
  <si>
    <t>Электроэнергия</t>
  </si>
  <si>
    <t>Теплоэнергия</t>
  </si>
  <si>
    <t>Гкал</t>
  </si>
  <si>
    <t>Затраты на содержание объектов недвижимого имущества</t>
  </si>
  <si>
    <t>Используются укрупненные группы затрат</t>
  </si>
  <si>
    <t>Наименование затрат</t>
  </si>
  <si>
    <t>договор</t>
  </si>
  <si>
    <t>ИТОГО СОДЕРЖАНИЕ ОБЪЕКТОВ НЕДВИЖ. ИМУЩЕСТВА</t>
  </si>
  <si>
    <t>Наименование услуг связи</t>
  </si>
  <si>
    <t>Месяцев</t>
  </si>
  <si>
    <t>ИТОГО УСЛУГИ СВЯЗИ</t>
  </si>
  <si>
    <t>Наименование транспортных услуг</t>
  </si>
  <si>
    <t>ИТОГО РАБОТНИКИ, НЕ СВЯЗАННЫЕ С ОКАЗАНИЕМ УСЛУГ</t>
  </si>
  <si>
    <t>Затраты на прочие общехозяйственные нужды</t>
  </si>
  <si>
    <t>Прочие затраты</t>
  </si>
  <si>
    <t>ИТОГО ПРОЧИЕ ОБЩЕХОЗ. НУЖДЫ</t>
  </si>
  <si>
    <t>Затраты на общехозяйственные нужды, руб.</t>
  </si>
  <si>
    <t>Базовый норматив затрат на оказание услуги, руб.</t>
  </si>
  <si>
    <t>Работники, непосредственно связанные с оказанием работы</t>
  </si>
  <si>
    <t>Норма трудозатрат на выполнение работы (человеко-часов)</t>
  </si>
  <si>
    <t>Затраты на  услуги связи</t>
  </si>
  <si>
    <t>Гбайт</t>
  </si>
  <si>
    <t>мин</t>
  </si>
  <si>
    <t xml:space="preserve">Ед. </t>
  </si>
  <si>
    <t>4 = 2 * 3</t>
  </si>
  <si>
    <t xml:space="preserve">ФОТ с учетом количества ставок </t>
  </si>
  <si>
    <t>Затраты, непосредственно связанные с оказанием работы руб.</t>
  </si>
  <si>
    <t>Рекомендуемый метод распределения общ-х затрат: время использования имущ. комплекса</t>
  </si>
  <si>
    <t xml:space="preserve">Командировочные  расходы непосредственно НЕ связанных с выполнением работы </t>
  </si>
  <si>
    <t>Фонд заработной платы – в соответствии со штатным расписанием (с учетом стимулирующих выплат) по каждой группе должностей. Начисления на ФОТ – коэффициент 1,302</t>
  </si>
  <si>
    <t>Учреждение: Муниципальное бюджетное учреждение  «Молодежный центр » Северо- Енисейского района</t>
  </si>
  <si>
    <t>Затраты разносятся между работами пропорционально колличеству участников мероприятий</t>
  </si>
  <si>
    <t>Нормативный объем</t>
  </si>
  <si>
    <t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</si>
  <si>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</si>
  <si>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r>
      <t xml:space="preserve">(ФОТ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мес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1,302  ÷ </t>
    </r>
  </si>
  <si>
    <r>
      <t xml:space="preserve">7= 2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>1,302</t>
    </r>
    <r>
      <rPr>
        <sz val="11"/>
        <rFont val="Arial"/>
        <family val="2"/>
        <charset val="204"/>
      </rPr>
      <t>÷</t>
    </r>
    <r>
      <rPr>
        <sz val="11"/>
        <rFont val="Times New Roman"/>
        <family val="1"/>
        <charset val="204"/>
      </rPr>
      <t xml:space="preserve"> </t>
    </r>
  </si>
  <si>
    <r>
      <t>8 = 6</t>
    </r>
    <r>
      <rPr>
        <sz val="11"/>
        <rFont val="Arial"/>
        <family val="2"/>
        <charset val="204"/>
      </rPr>
      <t>× 7</t>
    </r>
    <r>
      <rPr>
        <sz val="11"/>
        <rFont val="Times New Roman"/>
        <family val="1"/>
        <charset val="204"/>
      </rPr>
      <t xml:space="preserve"> </t>
    </r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</si>
  <si>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</si>
  <si>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>Затраты на  транспортные услуги</t>
  </si>
  <si>
    <t xml:space="preserve">ИТОГО транспортные  УСЛУГИ </t>
  </si>
  <si>
    <t>Итого</t>
  </si>
  <si>
    <t>ИТОГО командировочные расходы</t>
  </si>
  <si>
    <t xml:space="preserve">Командировочные  расходы непосредственно  связанных с выполнением работы </t>
  </si>
  <si>
    <t>Наименование должностей</t>
  </si>
  <si>
    <t>Среднемесячный фонд заработной платы</t>
  </si>
  <si>
    <t>Среднемесячная заработная плата</t>
  </si>
  <si>
    <t>Замена на время отпуска (20% на 2 месяца)</t>
  </si>
  <si>
    <t>Годовой фонд заработной платы (211)</t>
  </si>
  <si>
    <t>Страховые взносы (213)</t>
  </si>
  <si>
    <t>ИТОГО ФОТ</t>
  </si>
  <si>
    <t>Для расчета норм затрат</t>
  </si>
  <si>
    <t>5=4*3</t>
  </si>
  <si>
    <t>6 = 3*4*5</t>
  </si>
  <si>
    <t>6=5*4*3</t>
  </si>
  <si>
    <t>Расчет годового фонда оплаты труда Молодежный центр на 2017 год</t>
  </si>
  <si>
    <t>Молодежный центр</t>
  </si>
  <si>
    <t>фонд на 2017</t>
  </si>
  <si>
    <t>з/п филиппова</t>
  </si>
  <si>
    <t>=+ разн в оклад</t>
  </si>
  <si>
    <t>з/п хисамов</t>
  </si>
  <si>
    <t>замена на время отпуска</t>
  </si>
  <si>
    <t>разница в з/п</t>
  </si>
  <si>
    <t>*12 мес</t>
  </si>
  <si>
    <t>ИТОГО расходы</t>
  </si>
  <si>
    <t>В данном учреждении планируются</t>
  </si>
  <si>
    <t xml:space="preserve">Прочие расходы, иные выплаты населению непосредственно  связанных с выполнением работы </t>
  </si>
  <si>
    <t>МВт час.</t>
  </si>
  <si>
    <t>шт</t>
  </si>
  <si>
    <t>Затраты, непосредственно связанные с выполнением работы руб.</t>
  </si>
  <si>
    <t>кол-во номеров</t>
  </si>
  <si>
    <t>Рабочий по обслуживанию здания</t>
  </si>
  <si>
    <t>ИТОГО</t>
  </si>
  <si>
    <r>
      <t xml:space="preserve">5 = 3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4</t>
    </r>
  </si>
  <si>
    <t>Тариф (цена), руб.</t>
  </si>
  <si>
    <t>Тариф (цена), руб</t>
  </si>
  <si>
    <t>Итого оплата труда</t>
  </si>
  <si>
    <t>Методист</t>
  </si>
  <si>
    <t>от1</t>
  </si>
  <si>
    <t>из</t>
  </si>
  <si>
    <t>пм3</t>
  </si>
  <si>
    <t>ку</t>
  </si>
  <si>
    <t>сни</t>
  </si>
  <si>
    <t>ус</t>
  </si>
  <si>
    <t>от2</t>
  </si>
  <si>
    <t>пз</t>
  </si>
  <si>
    <t>ту</t>
  </si>
  <si>
    <t>соцди</t>
  </si>
  <si>
    <t>фот по расч</t>
  </si>
  <si>
    <t>фот по меропр д/б</t>
  </si>
  <si>
    <t>ИТОГО КОМАНДИРОВОЧНЫЕ УСЛУГИ</t>
  </si>
  <si>
    <t>Наименование командировочных расходов</t>
  </si>
  <si>
    <t>Комплексное обслуживание системы тепловодоснабжения и конструктивных элементов здания</t>
  </si>
  <si>
    <t>5=3х4</t>
  </si>
  <si>
    <t xml:space="preserve"> Прочие выплаты работникам, непосредственно Не связанным с выполнением работы</t>
  </si>
  <si>
    <t>Наименование расходов</t>
  </si>
  <si>
    <t>Численность работников, получающих пособие</t>
  </si>
  <si>
    <t>Размер выплаты (пособия) в месяц, руб</t>
  </si>
  <si>
    <t>Сумма, руб (гр.3*гр.4*гр.5)</t>
  </si>
  <si>
    <t>Пособие по уходу за ребенком до 3-х лет</t>
  </si>
  <si>
    <t>Количество выплат в год на одного работника</t>
  </si>
  <si>
    <t>разница</t>
  </si>
  <si>
    <t xml:space="preserve">Прочие расходы, иные выплаты, непосредственно  связанные с выполнением работы </t>
  </si>
  <si>
    <t>ИТОГО РАСХОДЫ</t>
  </si>
  <si>
    <t>Наименование  услуг</t>
  </si>
  <si>
    <t>Наименование услуг</t>
  </si>
  <si>
    <t>ед</t>
  </si>
  <si>
    <t>сут</t>
  </si>
  <si>
    <t xml:space="preserve">Прочие расходы, иные выплаты непосредственно  связанные с выполнением работы 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</si>
  <si>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t>
  </si>
  <si>
    <t>Значения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</si>
  <si>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</si>
  <si>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</si>
  <si>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</si>
  <si>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</si>
  <si>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</si>
  <si>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1.Натуральные нормы, непосредственно связанные с оказанием услуги</t>
  </si>
  <si>
    <t>1.1 Работники непосредственно связанные с оказанием муниципальной услуги</t>
  </si>
  <si>
    <t>шт.ед</t>
  </si>
  <si>
    <t>2.Натуральные нормы на общехозяйственные нужды</t>
  </si>
  <si>
    <t>2.1Коммунальные услуги</t>
  </si>
  <si>
    <t>2.2 Содержание объектов недвижимого имущества, необходимого для выполнения муниципального задания</t>
  </si>
  <si>
    <t>2.3 Услуги связи</t>
  </si>
  <si>
    <t>2.4 Работники, которые не принимают непосредственного участия в оказании муниципальной услуги</t>
  </si>
  <si>
    <t>Специалист по работе с молодежью</t>
  </si>
  <si>
    <t>Водитель</t>
  </si>
  <si>
    <t>Уборщик служебных помещений</t>
  </si>
  <si>
    <t>шт. ед</t>
  </si>
  <si>
    <t>1.2 Командировочные расходы работников, которые принимают непосредственное участие в оказании муниципальной услуги</t>
  </si>
  <si>
    <t>1.3 Материальные запасы и особо ценное движимое имущество , потребляемое (используемое) в процессе оказания услуги</t>
  </si>
  <si>
    <t>2.5 Прочие выплаты работникам, непосредственно Не связанным с выполнением работы</t>
  </si>
  <si>
    <t>2.6 Командировочные расходы работников, которые не принимают непосредственного участия в оказании муниципальной услуги</t>
  </si>
  <si>
    <t>2.7 Затраты на транспортные услуги</t>
  </si>
  <si>
    <t>2.8 Общехозяйственные нужды</t>
  </si>
  <si>
    <t>натуральных норм, необходимых для определения базовых нормативов затрат на оказание муниципальной работы</t>
  </si>
  <si>
    <t>046490000132D02500310051100000000000005100101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</si>
  <si>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</si>
  <si>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046490000132D02500310050100000000000006100101</t>
  </si>
  <si>
    <t>046492222132D0250031004910000000000000010101</t>
  </si>
  <si>
    <t>Установленная численность, единиц</t>
  </si>
  <si>
    <t>Среднемесячный размер оплаты труда на одного работника, руб</t>
  </si>
  <si>
    <t>Всего</t>
  </si>
  <si>
    <t>Сумма фонда для повышения на 4%</t>
  </si>
  <si>
    <t>сумма выделенной субсидии</t>
  </si>
  <si>
    <t xml:space="preserve">Заведующий </t>
  </si>
  <si>
    <t xml:space="preserve">Специалист по работе с молодежью      </t>
  </si>
  <si>
    <t>Водитель автомобиля</t>
  </si>
  <si>
    <t>Рабочий по комплексному обслуживанию здания</t>
  </si>
  <si>
    <t xml:space="preserve">Сторож </t>
  </si>
  <si>
    <t>Страховые взносы</t>
  </si>
  <si>
    <t>1.     Расчеты (обоснования) выплат персоналу, непосредственно связанному с выполнением работы (краевая субсидия на повышение)</t>
  </si>
  <si>
    <t>1.     Расчеты (обоснования) выплат персоналу, непосредственно НЕ связанному с выполнением работы (краевая субсидия на повышение)</t>
  </si>
  <si>
    <t>зп</t>
  </si>
  <si>
    <t>годовой фонд</t>
  </si>
  <si>
    <t>1.     Расчеты (обоснования) выплат персоналу, непосредственно связанному с выполнением работы (краевая субсидия Молодежь в XXI веке)</t>
  </si>
  <si>
    <t xml:space="preserve">(ФОТ × 12 мес × 1,302  ÷ </t>
  </si>
  <si>
    <t xml:space="preserve">7= 2 × 12 ×1,302÷ </t>
  </si>
  <si>
    <t xml:space="preserve">8 = 6× 7 </t>
  </si>
  <si>
    <t>5 = 3 × 4</t>
  </si>
  <si>
    <t>8 = 6 × 7</t>
  </si>
  <si>
    <t>Абоненская плата за услуги связи, номеров</t>
  </si>
  <si>
    <t>Количество платежей в год</t>
  </si>
  <si>
    <t>Провоз груза 2000 кг (1 кг=9,50 руб)</t>
  </si>
  <si>
    <t>всего 611</t>
  </si>
  <si>
    <r>
      <t xml:space="preserve">8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</t>
    </r>
  </si>
  <si>
    <t xml:space="preserve">Уборка территории от снега </t>
  </si>
  <si>
    <t>№ п/п</t>
  </si>
  <si>
    <t>Количество, шт</t>
  </si>
  <si>
    <t>Средняя стоимость, руб</t>
  </si>
  <si>
    <t>Сумма, руб (гр.3*гр.4)</t>
  </si>
  <si>
    <t>Наименование показателяобъема : количество мероприятий (штук)</t>
  </si>
  <si>
    <t>Заведующий МЦ</t>
  </si>
  <si>
    <t>Суточные</t>
  </si>
  <si>
    <t>Проезд</t>
  </si>
  <si>
    <t>сутки</t>
  </si>
  <si>
    <t>10 коммандировок в год</t>
  </si>
  <si>
    <t>дог</t>
  </si>
  <si>
    <r>
      <t>м</t>
    </r>
    <r>
      <rPr>
        <vertAlign val="superscript"/>
        <sz val="12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</si>
  <si>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t xml:space="preserve">Наименование услуг </t>
  </si>
  <si>
    <t>Услуги СЕМИС подписка</t>
  </si>
  <si>
    <t>Оплата проезда к месту коммандировки  (10 команд. в год )</t>
  </si>
  <si>
    <t>Суточные при служебных коммандировках (10 команд. в год )</t>
  </si>
  <si>
    <t>Найм жилья в командировке (10 команд. в год )</t>
  </si>
  <si>
    <t>Штатное расписание: 10,1 человек</t>
  </si>
  <si>
    <t xml:space="preserve">Услуги охраны  </t>
  </si>
  <si>
    <t>Обслуживание систем охранных средств сигнализации (тревожная кнопка)</t>
  </si>
  <si>
    <t>Профилактическая дезинфекция</t>
  </si>
  <si>
    <t>Страховая премия по полису ОСАГО за УАЗ</t>
  </si>
  <si>
    <t>Кран шаровый</t>
  </si>
  <si>
    <t>ТКО</t>
  </si>
  <si>
    <t>Туалетная бумага</t>
  </si>
  <si>
    <t>Жидкое мыло</t>
  </si>
  <si>
    <t>Проезд к месту учебы</t>
  </si>
  <si>
    <t>Договор осмотр технического состояния автомобиля</t>
  </si>
  <si>
    <t>Итого:</t>
  </si>
  <si>
    <t xml:space="preserve">Нормативные затраты на выполнение работы  </t>
  </si>
  <si>
    <t xml:space="preserve">Нормативные затраты на выполнение работы:  </t>
  </si>
  <si>
    <t>Работа:</t>
  </si>
  <si>
    <t xml:space="preserve">Работа: </t>
  </si>
  <si>
    <t>Средства на повышение с 1 октября 2019 года на 4,3 процента заработной платы работников бюджетной сферы</t>
  </si>
  <si>
    <t>Средства на повышение минимальных размеров окладов</t>
  </si>
  <si>
    <t>Затраты на оплату труда работников, непосредственно связанных с выполнением работы</t>
  </si>
  <si>
    <t>Затраты разносятся между работами пропорционально количеству проводимых мероприятий (показатель объема)</t>
  </si>
  <si>
    <t>Наименование показателя объема : количество мероприятий (штук)</t>
  </si>
  <si>
    <t>Участие подростков Северо-Енисейского района в ТИМ "Юниор"</t>
  </si>
  <si>
    <t>Суточные подростки</t>
  </si>
  <si>
    <t>Проживание подростки</t>
  </si>
  <si>
    <t>Участие молодежи Северо-Енисейского района в ТИМ "Бирюса"</t>
  </si>
  <si>
    <t>Проживание</t>
  </si>
  <si>
    <t>Участие молодежи Северо-Енисейского района в инфраструктурном проекте "Новый фарватер" (г. Лесосибирск)</t>
  </si>
  <si>
    <t>Расходные материалы к мероприятиям</t>
  </si>
  <si>
    <t>Наградная продукция к мероприям</t>
  </si>
  <si>
    <t>Проезд детей</t>
  </si>
  <si>
    <t>Проживание детей 10 детей</t>
  </si>
  <si>
    <t>Суточные детей 10</t>
  </si>
  <si>
    <t>Участие подростков, участников ВПК, в сдаче на право ношения спецжетона КРОО «Ветераны Спецназа» г. Красноярск</t>
  </si>
  <si>
    <t>Проживание детей 2 детей</t>
  </si>
  <si>
    <t>Суточные детей 2</t>
  </si>
  <si>
    <t>Участие молодежи Северо-Енисейского района в Российском патриотическом фестивале в г. Красноярск</t>
  </si>
  <si>
    <t xml:space="preserve">Военно-спортивная игра «Сибирский щит: Орленок». Участие в Зональном этапе. </t>
  </si>
  <si>
    <t>Проезд детей 6 чел</t>
  </si>
  <si>
    <t>Проживание детей 6 чел</t>
  </si>
  <si>
    <t>Суточные детей 6 чел</t>
  </si>
  <si>
    <t>Проекты Территория 2020</t>
  </si>
  <si>
    <t>Расходные материалы по проектам</t>
  </si>
  <si>
    <t>Наградная продукция к мероприятим</t>
  </si>
  <si>
    <t>(плановое задание 2020 года)</t>
  </si>
  <si>
    <t xml:space="preserve">Затраты на оплату труда работников, непосредственно НЕ связанных с выполнением работы </t>
  </si>
  <si>
    <t xml:space="preserve">Проживание </t>
  </si>
  <si>
    <t>19 командировок</t>
  </si>
  <si>
    <t xml:space="preserve">Командировочные  расходы непосредственно связанных с выполнением работы </t>
  </si>
  <si>
    <t xml:space="preserve">1.     Расчеты (обоснования) выплат персоналу, непосредственно НЕ связанному с выполнением работы </t>
  </si>
  <si>
    <t xml:space="preserve">Водоснабжение </t>
  </si>
  <si>
    <t>Водоотведение (септик)</t>
  </si>
  <si>
    <t>Электроэнергия (резерв)</t>
  </si>
  <si>
    <t>переговоры по району, мин</t>
  </si>
  <si>
    <t>Переговоры за пределами района,мин</t>
  </si>
  <si>
    <t xml:space="preserve">Абоненская плата за услуги Интернет </t>
  </si>
  <si>
    <t>Почтовые конверты</t>
  </si>
  <si>
    <t>Техническое обслуживание систем пожарной сигнализации</t>
  </si>
  <si>
    <t>Медосмотр при устройстве на работу</t>
  </si>
  <si>
    <t>Диагностика бытовой и оргтехники для определения возможности ее дальнейшего использования (244/226)</t>
  </si>
  <si>
    <t>Изготовление снежных фигур</t>
  </si>
  <si>
    <t>Пиломатериал</t>
  </si>
  <si>
    <t>Тонеры для картриджей Kyocera</t>
  </si>
  <si>
    <t>Комплект тонеров для цветного принтера Canon</t>
  </si>
  <si>
    <t>Комплект тонера для цветного принтера Hp</t>
  </si>
  <si>
    <t>Флеш накопители  16 гб</t>
  </si>
  <si>
    <t>Флеш накопители  64 гб</t>
  </si>
  <si>
    <t>Мышь USB</t>
  </si>
  <si>
    <t xml:space="preserve">Мешки для мусора </t>
  </si>
  <si>
    <t>Тряпки для мытья</t>
  </si>
  <si>
    <t>Бытовая химия</t>
  </si>
  <si>
    <t>Фанера</t>
  </si>
  <si>
    <t>Чехол для кресла мешка</t>
  </si>
  <si>
    <t>Наполнитель для кресла мешка</t>
  </si>
  <si>
    <t>ГСМ УАЗ (Масло двигатель)</t>
  </si>
  <si>
    <t>Антифриз</t>
  </si>
  <si>
    <t>Баннера</t>
  </si>
  <si>
    <t>Гвозди</t>
  </si>
  <si>
    <t>Саморезы</t>
  </si>
  <si>
    <t>Инструмент металлический ручной</t>
  </si>
  <si>
    <t>Краска эмаль</t>
  </si>
  <si>
    <t>Краска ВДН</t>
  </si>
  <si>
    <t>Кисти</t>
  </si>
  <si>
    <t>Перчатка пвх</t>
  </si>
  <si>
    <t>краска кудо</t>
  </si>
  <si>
    <t>Валик+ванночка</t>
  </si>
  <si>
    <t>Ножницыы</t>
  </si>
  <si>
    <t>Канцелярские расходники</t>
  </si>
  <si>
    <t>Канцелярия (ручки, карандаши)</t>
  </si>
  <si>
    <t>Офисные принадлежности (папки, скоросшиватели, файлы)</t>
  </si>
  <si>
    <t>Лампы</t>
  </si>
  <si>
    <t>Батерейки</t>
  </si>
  <si>
    <t>Бумага А4</t>
  </si>
  <si>
    <t>Грабли, лопаты</t>
  </si>
  <si>
    <t>Коврик гимнастический</t>
  </si>
  <si>
    <t>ГСМ Бензин</t>
  </si>
  <si>
    <t>Наименование показателя объема : колличество мероприятий (штук)</t>
  </si>
  <si>
    <t>(плановое задание 2021 года)</t>
  </si>
  <si>
    <t>(1774,4 часа ×</t>
  </si>
  <si>
    <t>4 = 3 × 1774,4</t>
  </si>
  <si>
    <t>1774,4 часов)</t>
  </si>
  <si>
    <t>Почтовые конверты (упак 50 шт)</t>
  </si>
  <si>
    <t>Провоз груза 2000 кг (1 кг=10 руб)</t>
  </si>
  <si>
    <t xml:space="preserve">Мониторинг систем пожарной сигнализации  </t>
  </si>
  <si>
    <t>Обслуживание системы видеонаблюдения</t>
  </si>
  <si>
    <t>Заправка катриджей</t>
  </si>
  <si>
    <t>5 = 3 ×4</t>
  </si>
  <si>
    <t>Предрейсовое медицинское обследование 200дней*85руб</t>
  </si>
  <si>
    <t>Приобретение программного обеспечения</t>
  </si>
  <si>
    <t>чел</t>
  </si>
  <si>
    <t>Оплата проезда к месту коммандировки  (19 команд. в год )</t>
  </si>
  <si>
    <t>Суточные при служебных коммандировках (19 команд. в год )</t>
  </si>
  <si>
    <t>Найм жилья в командировке (19 команд. в год )</t>
  </si>
  <si>
    <t>Поисковая экспедиция</t>
  </si>
  <si>
    <t>Георгиевская лента (бабина)</t>
  </si>
  <si>
    <t>Лампада с вкладышем</t>
  </si>
  <si>
    <t>Брусок 25*25*100</t>
  </si>
  <si>
    <t>(17740,4 часа ×</t>
  </si>
  <si>
    <t>Поддержка проектов в рамках грантового конкурса Территория Красноярский край</t>
  </si>
  <si>
    <t>Приложение № 1</t>
  </si>
  <si>
    <t>Планируемое число  в год:  35   мероприятий (штук) (показатель объема услуги - задание)</t>
  </si>
  <si>
    <t>(плановое задание 2022 года)</t>
  </si>
  <si>
    <t>Проезд подростков 10 детей</t>
  </si>
  <si>
    <t>Проезд 5 участников</t>
  </si>
  <si>
    <t>Проезд 4 детей</t>
  </si>
  <si>
    <t>6=5*0,2672</t>
  </si>
  <si>
    <t>Возмещение мед осмотра (112/212)</t>
  </si>
  <si>
    <t>Изготовление площадки на заднем дворе учреждения</t>
  </si>
  <si>
    <t>Оплата пени, штрафов (853/291)</t>
  </si>
  <si>
    <t>Обучение персонала</t>
  </si>
  <si>
    <t>Переподготовка</t>
  </si>
  <si>
    <t>Рабочих часов в год:1775,4 часа – производственный календарь на 2022 год</t>
  </si>
  <si>
    <t>(1775,4 часа ×</t>
  </si>
  <si>
    <t>4 = 3 × 1775,4</t>
  </si>
  <si>
    <t>1775,4 часов)</t>
  </si>
  <si>
    <t>Планируемое число  в год: 48 колличество мероприятий (штук)(показатель объема услуги - задание)</t>
  </si>
  <si>
    <t xml:space="preserve">Проживание детей  </t>
  </si>
  <si>
    <t xml:space="preserve">Суточные детей </t>
  </si>
  <si>
    <t xml:space="preserve">Проезд детей </t>
  </si>
  <si>
    <t>6=5*0,3664</t>
  </si>
  <si>
    <t>1.     Расчеты (обоснования) выплат персоналу, непосредственно НЕ связанному с выполнением работы (доплата до МРОТ)</t>
  </si>
  <si>
    <t xml:space="preserve"> Расчеты (обоснования) выплат персоналу, непосредственно НЕ связанному с выполнением работы (доплата до МРОТ)</t>
  </si>
  <si>
    <t>    Расчеты (обоснования) выплат персоналу, непосредственно НЕ связанному с выполнением работы (доплата до МРОТ)</t>
  </si>
  <si>
    <t>Участие подростков Северо-Енисейского района в Дельфийских играх</t>
  </si>
  <si>
    <t>Проезд участника</t>
  </si>
  <si>
    <t>Участие в смотре-конкурсе по строевой подготовке в гор Красноярске</t>
  </si>
  <si>
    <t>проживание участников</t>
  </si>
  <si>
    <t xml:space="preserve">Проезд участников </t>
  </si>
  <si>
    <t>суточные участников</t>
  </si>
  <si>
    <t>черенок для граблей</t>
  </si>
  <si>
    <t>грабли</t>
  </si>
  <si>
    <t>провод аккустический</t>
  </si>
  <si>
    <t xml:space="preserve">Футболка оверсайз «Чистая соль», черная </t>
  </si>
  <si>
    <t>Банер "молодежная премия"</t>
  </si>
  <si>
    <t>ТОС</t>
  </si>
  <si>
    <t>Пена монт проф Hardy 65 всесез.65л 1000мл клап.надеж.фикс A1487Z</t>
  </si>
  <si>
    <t>ПРОЕКТ ЖИВАЯ ПАМЯТЬ</t>
  </si>
  <si>
    <t>Серебрянка 100гр</t>
  </si>
  <si>
    <t>Перчатки х/б 10 кл. 5 нитей пвх Точка Стандарт/10/250/</t>
  </si>
  <si>
    <t>ЭкоПолимер Мешки д/мус.особопр 120л*25шт 70*110 40 мкм ПВД</t>
  </si>
  <si>
    <t>Эмаль ПФ-115 алк.красная 2,7кг Farbitex Ф3463160</t>
  </si>
  <si>
    <t>Растворитель 646 Вика 5л</t>
  </si>
  <si>
    <t>Кисть Акор "Эмали" КФ-50*12 натур.щетина /10/380/</t>
  </si>
  <si>
    <t>Кисть Акор "Эмали" КФ-35*10 натур.щетина /10/660/</t>
  </si>
  <si>
    <t>Кисть Акор "Эмали" КФ-70*12 натур.щетина /10/260/</t>
  </si>
  <si>
    <t>Ванночка малярная 37*34см /10/50/</t>
  </si>
  <si>
    <t>Олифа (канистра) 5,0л Farbitex (1) Ф9009000</t>
  </si>
  <si>
    <t>Магнитный баннер</t>
  </si>
  <si>
    <t>Флажок бумажный на палочке</t>
  </si>
  <si>
    <t>Подставки по сувенир с шильдом и гравировкой</t>
  </si>
  <si>
    <t>Хэштег ПВХ, белый</t>
  </si>
  <si>
    <t>Худи однотонное красное</t>
  </si>
  <si>
    <t>Футболка однотонная красная</t>
  </si>
  <si>
    <t>Искусственная трава ландшафтная 30 мм ширина 2 м</t>
  </si>
  <si>
    <t>наградные статуэтки</t>
  </si>
  <si>
    <t>Ед изм</t>
  </si>
  <si>
    <t>уличная ткань оксфорд хаки</t>
  </si>
  <si>
    <t>уличная ткань оксфорд коричневый</t>
  </si>
  <si>
    <t>уличная ткань оксфорд черный</t>
  </si>
  <si>
    <t xml:space="preserve">шнур хозяйственный </t>
  </si>
  <si>
    <t>полог брезентовый</t>
  </si>
  <si>
    <t>брезент отрез</t>
  </si>
  <si>
    <t>удлинитель атлант</t>
  </si>
  <si>
    <t>удлинитель силовой</t>
  </si>
  <si>
    <t>Стрела для безопасной стрельбы</t>
  </si>
  <si>
    <t>Мишень для лучного боя</t>
  </si>
  <si>
    <t>Сменный наконечник для стрелы</t>
  </si>
  <si>
    <t>Ложка чайная одноразовая ПС 125мм (200/4000)</t>
  </si>
  <si>
    <t xml:space="preserve">Стакан 350 мл бумажн крафт д/гор напит </t>
  </si>
  <si>
    <t>Стакан 250 мл д/гор напит под крафт</t>
  </si>
  <si>
    <t>ПРОЕКТ "МОЛОДЫЕ И ЗДОРОВЫЕ"</t>
  </si>
  <si>
    <t>Коврик для фитнеса (Мат пазл)</t>
  </si>
  <si>
    <t>Скакалка Kettler</t>
  </si>
  <si>
    <t>Блок для занятия йогой</t>
  </si>
  <si>
    <t>ПРОЕКТ МАТЬ И ДИТЯ</t>
  </si>
  <si>
    <t>Набор фетра декоративного Gamma 20 см х 30 см ± 1-2 см 5 листов 195 г/кв.м</t>
  </si>
  <si>
    <t>Магнитная лента «Создай магниты» белая</t>
  </si>
  <si>
    <t>Деревянный магнит Пазл 114х73.</t>
  </si>
  <si>
    <t>Выдуй шарик! (2 штуки в упаковке. Цвета в ассортименте)</t>
  </si>
  <si>
    <t>Ветерок-вертушка 102475 Круть-верть 400190 в пакете</t>
  </si>
  <si>
    <t>AQUAELLE Спиртовые антисептические антибактериальные влажные салфетки medical, 300 штук</t>
  </si>
  <si>
    <t>Фотобумага LOMOND 2410023 самоклеющаяся глянцевая 4 части А4 (105 x 148,5 мм) 85 г/м2, 25 листов</t>
  </si>
  <si>
    <t>Аэробол для развития речевого дыхания "Дудочка с шариком", 2865274, цвета МИКС</t>
  </si>
  <si>
    <t>«Боулинг» игра для дыхательной гимнастики</t>
  </si>
  <si>
    <t>"BOOMZEE" BLS-30 НАБОР ВОЗДУШНЫХ ШАРОВ 30 СМ 10 ШТ. 02-АССОРТИ МЕТАЛЛИК</t>
  </si>
  <si>
    <t>Дыхательный тренажер "Качели", арт. П256</t>
  </si>
  <si>
    <t>Дыхательный тренажер "Тучка", арт. П258</t>
  </si>
  <si>
    <t>Пуговицы-фигурки. Цветы Dress It Up</t>
  </si>
  <si>
    <t>Пленка для ламинирования OfficeSpace А4 100мкм 100шт LF7089</t>
  </si>
  <si>
    <t>L-951 Деревянная заготовка Медаль 3,5см с ушком</t>
  </si>
  <si>
    <t>Ложка столовая одноразовая пластиковая 165 мм, белая, КОМПЛЕКТ 100 шт., СТАНДАРТ, LAIMA, 603079</t>
  </si>
  <si>
    <t>Пенопластовые заготовки для творчества «Шарики», 10 шт., 20 мм, остров сокровищ, 661344</t>
  </si>
  <si>
    <t>Набор самоцветов N1 500 гр., Сокровища Пирата, арт. 0017</t>
  </si>
  <si>
    <t>Я рисую, раскраска</t>
  </si>
  <si>
    <t>Карандаши цветные утолщенные ЮНЛАНДИЯ «МАЛЫШИ-КАРАНДАШИ», 12 цветов, укороченные заточенные, 181376</t>
  </si>
  <si>
    <t>Набор для лепки "Тесто пластилин", 12 цветов, в пак.</t>
  </si>
  <si>
    <t>«Занимательные книги»</t>
  </si>
  <si>
    <t>Клеевой пистолет малый премиум Hobby and Pro</t>
  </si>
  <si>
    <t>Клеевые стержни REXANT 7.4х200 мм, 10 шт. прозрачный</t>
  </si>
  <si>
    <t>Набор атласных лент «Нежный», 5 шт, размер 1 ленты: 6 мм × 23 ± 1 м</t>
  </si>
  <si>
    <t>Fancy Baby Мегатактилики / Сенсорные тактилики антистресс Тактильные массажные мячики набор 12 штук</t>
  </si>
  <si>
    <t>Трубочки для коктейля 10 шт 25х7х0,5 см бамбук</t>
  </si>
  <si>
    <t>Бумага cactus A6 CS-GA6230500 230 г/м² 500 лист., белый</t>
  </si>
  <si>
    <t>Бумага Lomond A4 Photo Paper  230 г/м² 50 лист., белый, матовая</t>
  </si>
  <si>
    <t>Бумага Lomond A4 Photo Paper 170 г/м² 100 лист, белый, матовая</t>
  </si>
  <si>
    <t>Бумага Lomond A4 Photo Paper 230 г/м2 50 лист., белый, глянц</t>
  </si>
  <si>
    <t>Бумага Lomond A4 Photo Paper 170 г/м² 100 лист, белый, глянц</t>
  </si>
  <si>
    <t>Фляжка-бутылка. Алюминиевая, белый цвет, объем 500мл, с поилкой</t>
  </si>
  <si>
    <t>Кружка керамическая, 330 мл, белая</t>
  </si>
  <si>
    <t>Ручка, УФ печать, пластиковая, автомат, зеленая</t>
  </si>
  <si>
    <t>Сумка шоппер, хлопок, 320 гр, премиум 40х40 см, с прямой цифровой печатью</t>
  </si>
  <si>
    <t>Пакет, пвд, белый, 20х30 см, 1 цвет</t>
  </si>
  <si>
    <t>Сумка поясная</t>
  </si>
  <si>
    <t>Футболка, 100% хлопок, кулирная гладь, белый цвет, цифровая печать</t>
  </si>
  <si>
    <t>Статуэтка на подставке из дерева 150 мм</t>
  </si>
  <si>
    <t>Статуэтка на подставке из дерева 200 мм Первый</t>
  </si>
  <si>
    <t xml:space="preserve">Медаль "Флэтбол" </t>
  </si>
  <si>
    <t>Работы по специальной оценке условий труда</t>
  </si>
  <si>
    <t>Оценка профессиональных рисков охраны труда</t>
  </si>
  <si>
    <t>17 коммандировки в год</t>
  </si>
  <si>
    <t>жетон армейский "выживший" на цепочке</t>
  </si>
  <si>
    <t>подставка для настольного хоккея</t>
  </si>
  <si>
    <t>ножки для настольного хоккея</t>
  </si>
  <si>
    <t>Конкурс ПРОФМАСТЕРСТВА</t>
  </si>
  <si>
    <t>конус тренировочный со штангой</t>
  </si>
  <si>
    <t>ПРОЕКТ "Волонтеры ЮИД"</t>
  </si>
  <si>
    <t>знак дорожный детский</t>
  </si>
  <si>
    <t>пленка самоклей с печатью</t>
  </si>
  <si>
    <t>жилет сигнальный "Волонтер ЮИД"</t>
  </si>
  <si>
    <t>конус тренировочный</t>
  </si>
  <si>
    <t>ПРОЕКТ "ПРИЗЫВ РОССОМАХИ"</t>
  </si>
  <si>
    <t>Граната учебная</t>
  </si>
  <si>
    <t>Шашка дымовая</t>
  </si>
  <si>
    <t>Ножи метательные "Жонглер"</t>
  </si>
  <si>
    <t>Ножи метательные "Дартс-4"</t>
  </si>
  <si>
    <t>Ножи метательные "Мастер клинок"</t>
  </si>
  <si>
    <t>Малая пехотная лопата</t>
  </si>
  <si>
    <t>Лопата тренировочная</t>
  </si>
  <si>
    <t>баннер 2*2 люверсы</t>
  </si>
  <si>
    <t>Участие команды  Северо-Енисейского района в смене впц "Вымпел"</t>
  </si>
  <si>
    <t>Проезд детей (6 детей)</t>
  </si>
  <si>
    <t>Суточные детей (6 детей)</t>
  </si>
  <si>
    <t>Краевой смотр-конкурс по Строевой подготовке в гп Северо-Енисейский</t>
  </si>
  <si>
    <t>Проезд детей (3 детей)</t>
  </si>
  <si>
    <t>Суточные детей (3 детей)</t>
  </si>
  <si>
    <t>Муниципальный смотр-конкурс по Строевой подготовке в гп Северо-Енисейский</t>
  </si>
  <si>
    <t>проезд детей из п. Новая Калами, п. Тея</t>
  </si>
  <si>
    <t>Пули RWS R10 Match Rifle 4,5 мм, 0,53 г (500 штук)</t>
  </si>
  <si>
    <t>Пули Gamo Pro Match 4,5 мм, 0,49 г (500 штук)</t>
  </si>
  <si>
    <t>Пули RWS R10 Match Pistol 4,5 мм, 0,45 г (500 штук)</t>
  </si>
  <si>
    <t>Перчатки белые парадные с лучами р-р 18</t>
  </si>
  <si>
    <t>Ремень</t>
  </si>
  <si>
    <t>Значок большой</t>
  </si>
  <si>
    <t>Значок малый</t>
  </si>
  <si>
    <t>Погон Юнармеец</t>
  </si>
  <si>
    <t>Погон "Юнармия" командир отделения</t>
  </si>
  <si>
    <t>Нашивка Юнармия</t>
  </si>
  <si>
    <t>Личная книжка Юнармейца</t>
  </si>
  <si>
    <t>Аптечка</t>
  </si>
  <si>
    <t>Нашивка ФИО</t>
  </si>
  <si>
    <t>Жакет в комплекте с шевронами р-р 40-42 рост 158-164</t>
  </si>
  <si>
    <t>Жакет в комплекте с шевронами р-р 44-46 рост 158-164</t>
  </si>
  <si>
    <t>Жакет в комплекте с шевронами р-р 48-50 рост 158-164</t>
  </si>
  <si>
    <t>Брюки бежевые р-р 40-42 рост 158-164</t>
  </si>
  <si>
    <t>Брюки бежевые р-р 44-46 рост 158-164</t>
  </si>
  <si>
    <t>Брюки бежевые р-р 48-50 рост 158-164</t>
  </si>
  <si>
    <t>Платье, цвет бежевый р-р 44-46 рост 158-164</t>
  </si>
  <si>
    <t>Куртка демисезонная в комплекте с шевронами на рукавах р-р 40-42 рост 158-164</t>
  </si>
  <si>
    <t>Куртка демисезонная в комплекте с шевронами на рукавах р-р 44-46 рост 158-164</t>
  </si>
  <si>
    <t>Куртка демисезонная в комплекте с шевронами на рукавах р-р 48-50 рост 158-164</t>
  </si>
  <si>
    <t>Берцы утепленные р-р 36</t>
  </si>
  <si>
    <t>Берцы утепленные р-р 37</t>
  </si>
  <si>
    <t>Берцы утепленные р-р 38</t>
  </si>
  <si>
    <t>Берцы утепленные р-р 39</t>
  </si>
  <si>
    <t>Берцы утепленные р-р 40</t>
  </si>
  <si>
    <t>георгиевская лента ширина 35 мм</t>
  </si>
  <si>
    <t>георгиевская лента ширина 24 мм</t>
  </si>
  <si>
    <t>российския триколор лента 24 мм</t>
  </si>
  <si>
    <t>российския триколор лента 35 мм</t>
  </si>
  <si>
    <t>зазигалка виссен</t>
  </si>
  <si>
    <t>зажигалка-горелка</t>
  </si>
  <si>
    <t>заготовки для броши черные 10 шт</t>
  </si>
  <si>
    <t>заготовки для броши белые 10 шт</t>
  </si>
  <si>
    <t>текстолит стержневой 40мм</t>
  </si>
  <si>
    <t>текстолит 1мм</t>
  </si>
  <si>
    <t>текстолит 30 мм</t>
  </si>
  <si>
    <t>вешалка-плечики</t>
  </si>
  <si>
    <t xml:space="preserve">банер 9 мая люверсы </t>
  </si>
  <si>
    <t>Фанера 10 мм (1525х1525), водостойкая</t>
  </si>
  <si>
    <t>Фанера 6 мм (1525х1525), водостойкая</t>
  </si>
  <si>
    <t>Фанера 4 мм (1525х1525), водостойкая</t>
  </si>
  <si>
    <t>Брусок 50х50х3000</t>
  </si>
  <si>
    <t>Брусок 30х40х3000</t>
  </si>
  <si>
    <t>Брусок 20х20х100</t>
  </si>
  <si>
    <t>Ложка столовая одноразовая ПС 160мм (2000)</t>
  </si>
  <si>
    <t>Тарелка суповая 500 мл (1800/50) НОВОСИБ</t>
  </si>
  <si>
    <t>Стакан проз. 200мл. Эконом-Класс 100/ (3000шт.)</t>
  </si>
  <si>
    <t>ОМОН Ботинки с высокими берцами, р 39</t>
  </si>
  <si>
    <t>ОМОН Ботинки с высокими берцами, р 38</t>
  </si>
  <si>
    <t>ОМОН Ботинки с высокими берцами, р 37</t>
  </si>
  <si>
    <t>ОМОН Ботинки с высокими берцами, р 36</t>
  </si>
  <si>
    <t>ОМОН Ботинки с высокими берцами, р 40</t>
  </si>
  <si>
    <t>Костюм летний Горка 8 Мультикам, р 41/1</t>
  </si>
  <si>
    <t>Костбм летний Горка 8 Мультикам, р 42/2</t>
  </si>
  <si>
    <t>Костюм летний Горка 8 Мультикам, р 44/2</t>
  </si>
  <si>
    <t>Костбм летний Горка 8 Мультикам, р 46/2</t>
  </si>
  <si>
    <t>Костюм летний Горка 8 Мультикам, р 46/3</t>
  </si>
  <si>
    <t>Костбм летний Горка 8 Мультикам, р 48/3</t>
  </si>
  <si>
    <t>Костюм летний Горка 8 Мультикам, р 50/4</t>
  </si>
  <si>
    <t>Статуэтка на подставке из дерева "Знай наших"</t>
  </si>
  <si>
    <t>Спальный мешок Tramp Voyager Compact оранж с правой стороны</t>
  </si>
  <si>
    <t>ПРОЕКТ "ЖИВАЯ СТАЛЬ"</t>
  </si>
  <si>
    <t>табличка нарезная "участник ВОВ"</t>
  </si>
  <si>
    <t>Эмаль ПФ</t>
  </si>
  <si>
    <t>Экипировка и форма для Юнармии, в том числе</t>
  </si>
  <si>
    <t>Приложение №1 к Приказу отдела физической культуры, спорта и молодежной политики Северо-Енисейского района от 21.10. 2022 № 73-ОС "О внесении изменений в приказ от 23.12.2021 № 93-ос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</si>
  <si>
    <t>на 21.10.2022 год</t>
  </si>
  <si>
    <t>Приложение №1 к приложению 1  к Приказу отдела физической культуры, спорта и молодежной политики Северо-Енисейского района от 21.10. 2022 № 73-ОС "О внесении изменений в приказ от 23.12.2021 № 93-ос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</si>
</sst>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.0"/>
    <numFmt numFmtId="166" formatCode="#,##0.00000"/>
    <numFmt numFmtId="167" formatCode="0.000"/>
    <numFmt numFmtId="168" formatCode="#,##0.000"/>
  </numFmts>
  <fonts count="5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Arial"/>
      <family val="2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3" tint="-0.249977111117893"/>
      <name val="Times New Roman"/>
      <family val="1"/>
      <charset val="204"/>
    </font>
    <font>
      <sz val="10.5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Arial Cyr"/>
      <charset val="204"/>
    </font>
    <font>
      <b/>
      <sz val="11"/>
      <name val="Arial"/>
      <family val="2"/>
      <charset val="204"/>
    </font>
    <font>
      <sz val="11"/>
      <name val="Arial Cyr"/>
      <charset val="204"/>
    </font>
    <font>
      <sz val="11"/>
      <color rgb="FF006100"/>
      <name val="Times New Roman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1"/>
      <color rgb="FFFF0000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theme="1"/>
      <name val="Times New Roman"/>
      <family val="1"/>
      <charset val="204"/>
    </font>
    <font>
      <sz val="12"/>
      <color rgb="FF2C2D2E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5F8FF"/>
        <bgColor indexed="64"/>
      </patternFill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rgb="FF000000"/>
      </patternFill>
    </fill>
  </fills>
  <borders count="4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0" fontId="7" fillId="0" borderId="0"/>
    <xf numFmtId="0" fontId="27" fillId="6" borderId="0" applyNumberFormat="0" applyBorder="0" applyAlignment="0" applyProtection="0"/>
  </cellStyleXfs>
  <cellXfs count="871">
    <xf numFmtId="0" fontId="0" fillId="0" borderId="0" xfId="0"/>
    <xf numFmtId="4" fontId="0" fillId="0" borderId="0" xfId="0" applyNumberFormat="1"/>
    <xf numFmtId="0" fontId="0" fillId="4" borderId="0" xfId="0" applyFill="1"/>
    <xf numFmtId="0" fontId="10" fillId="4" borderId="0" xfId="0" applyFont="1" applyFill="1"/>
    <xf numFmtId="0" fontId="6" fillId="4" borderId="0" xfId="0" applyFont="1" applyFill="1" applyAlignment="1">
      <alignment horizontal="left" vertical="top" readingOrder="1"/>
    </xf>
    <xf numFmtId="4" fontId="8" fillId="4" borderId="1" xfId="0" applyNumberFormat="1" applyFont="1" applyFill="1" applyBorder="1" applyAlignment="1">
      <alignment horizontal="center" vertical="center" wrapText="1" readingOrder="1"/>
    </xf>
    <xf numFmtId="0" fontId="6" fillId="4" borderId="0" xfId="0" applyFont="1" applyFill="1" applyAlignment="1"/>
    <xf numFmtId="0" fontId="6" fillId="4" borderId="0" xfId="0" applyFont="1" applyFill="1"/>
    <xf numFmtId="0" fontId="6" fillId="4" borderId="0" xfId="0" applyFont="1" applyFill="1" applyAlignment="1">
      <alignment vertical="center" wrapText="1"/>
    </xf>
    <xf numFmtId="0" fontId="4" fillId="4" borderId="0" xfId="0" applyFont="1" applyFill="1" applyAlignment="1">
      <alignment horizontal="left" vertical="center" readingOrder="1"/>
    </xf>
    <xf numFmtId="0" fontId="6" fillId="4" borderId="0" xfId="0" applyFont="1" applyFill="1" applyAlignment="1">
      <alignment vertical="center" readingOrder="1"/>
    </xf>
    <xf numFmtId="0" fontId="6" fillId="4" borderId="0" xfId="0" applyFont="1" applyFill="1" applyBorder="1" applyAlignment="1">
      <alignment horizontal="left" vertical="top" wrapText="1" readingOrder="1"/>
    </xf>
    <xf numFmtId="0" fontId="5" fillId="0" borderId="7" xfId="0" applyFont="1" applyBorder="1"/>
    <xf numFmtId="0" fontId="6" fillId="0" borderId="0" xfId="0" applyFont="1"/>
    <xf numFmtId="0" fontId="6" fillId="0" borderId="7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4" fillId="5" borderId="16" xfId="0" applyFont="1" applyFill="1" applyBorder="1" applyAlignment="1"/>
    <xf numFmtId="0" fontId="6" fillId="5" borderId="16" xfId="0" applyFont="1" applyFill="1" applyBorder="1" applyAlignment="1"/>
    <xf numFmtId="0" fontId="6" fillId="5" borderId="0" xfId="0" applyFont="1" applyFill="1" applyAlignment="1">
      <alignment horizontal="center"/>
    </xf>
    <xf numFmtId="0" fontId="6" fillId="5" borderId="7" xfId="0" applyFont="1" applyFill="1" applyBorder="1" applyAlignment="1">
      <alignment wrapText="1"/>
    </xf>
    <xf numFmtId="0" fontId="6" fillId="5" borderId="15" xfId="0" applyFont="1" applyFill="1" applyBorder="1" applyAlignment="1">
      <alignment wrapText="1"/>
    </xf>
    <xf numFmtId="164" fontId="6" fillId="0" borderId="15" xfId="1" applyNumberFormat="1" applyFont="1" applyBorder="1" applyAlignment="1">
      <alignment horizontal="right"/>
    </xf>
    <xf numFmtId="164" fontId="6" fillId="0" borderId="15" xfId="1" applyFont="1" applyBorder="1" applyAlignment="1">
      <alignment horizontal="right"/>
    </xf>
    <xf numFmtId="164" fontId="6" fillId="0" borderId="7" xfId="0" applyNumberFormat="1" applyFont="1" applyBorder="1"/>
    <xf numFmtId="164" fontId="6" fillId="0" borderId="15" xfId="0" applyNumberFormat="1" applyFont="1" applyBorder="1"/>
    <xf numFmtId="164" fontId="0" fillId="0" borderId="0" xfId="0" applyNumberFormat="1"/>
    <xf numFmtId="0" fontId="6" fillId="0" borderId="1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7" fillId="0" borderId="0" xfId="0" applyFont="1"/>
    <xf numFmtId="164" fontId="18" fillId="0" borderId="15" xfId="1" applyNumberFormat="1" applyFont="1" applyBorder="1" applyAlignment="1">
      <alignment horizontal="right"/>
    </xf>
    <xf numFmtId="164" fontId="18" fillId="0" borderId="15" xfId="1" applyFont="1" applyBorder="1" applyAlignment="1">
      <alignment horizontal="right"/>
    </xf>
    <xf numFmtId="164" fontId="4" fillId="0" borderId="15" xfId="1" applyFont="1" applyBorder="1" applyAlignment="1">
      <alignment horizontal="right"/>
    </xf>
    <xf numFmtId="164" fontId="4" fillId="0" borderId="7" xfId="0" applyNumberFormat="1" applyFont="1" applyBorder="1"/>
    <xf numFmtId="164" fontId="18" fillId="0" borderId="15" xfId="0" applyNumberFormat="1" applyFont="1" applyBorder="1"/>
    <xf numFmtId="164" fontId="18" fillId="0" borderId="7" xfId="0" applyNumberFormat="1" applyFont="1" applyBorder="1"/>
    <xf numFmtId="0" fontId="0" fillId="2" borderId="0" xfId="0" applyFill="1"/>
    <xf numFmtId="49" fontId="0" fillId="0" borderId="0" xfId="0" applyNumberFormat="1"/>
    <xf numFmtId="4" fontId="8" fillId="4" borderId="7" xfId="0" applyNumberFormat="1" applyFont="1" applyFill="1" applyBorder="1" applyAlignment="1">
      <alignment horizontal="center" vertical="center"/>
    </xf>
    <xf numFmtId="0" fontId="9" fillId="4" borderId="0" xfId="0" applyFont="1" applyFill="1"/>
    <xf numFmtId="4" fontId="9" fillId="4" borderId="0" xfId="0" applyNumberFormat="1" applyFont="1" applyFill="1"/>
    <xf numFmtId="0" fontId="8" fillId="4" borderId="0" xfId="0" applyFont="1" applyFill="1" applyAlignment="1">
      <alignment vertical="center" wrapText="1"/>
    </xf>
    <xf numFmtId="0" fontId="22" fillId="4" borderId="0" xfId="0" applyFont="1" applyFill="1" applyAlignment="1">
      <alignment horizontal="left" vertical="center" readingOrder="1"/>
    </xf>
    <xf numFmtId="0" fontId="8" fillId="4" borderId="0" xfId="0" applyFont="1" applyFill="1" applyAlignment="1">
      <alignment vertical="center" readingOrder="1"/>
    </xf>
    <xf numFmtId="0" fontId="9" fillId="4" borderId="10" xfId="0" applyFont="1" applyFill="1" applyBorder="1" applyAlignment="1"/>
    <xf numFmtId="0" fontId="8" fillId="4" borderId="0" xfId="0" applyFont="1" applyFill="1" applyAlignment="1"/>
    <xf numFmtId="0" fontId="8" fillId="4" borderId="0" xfId="0" applyFont="1" applyFill="1"/>
    <xf numFmtId="0" fontId="24" fillId="3" borderId="0" xfId="0" applyFont="1" applyFill="1"/>
    <xf numFmtId="0" fontId="8" fillId="4" borderId="0" xfId="0" applyFont="1" applyFill="1" applyBorder="1" applyAlignment="1">
      <alignment horizontal="left" vertical="top" wrapText="1" readingOrder="1"/>
    </xf>
    <xf numFmtId="0" fontId="8" fillId="4" borderId="0" xfId="0" applyFont="1" applyFill="1" applyBorder="1" applyAlignment="1">
      <alignment horizontal="right" vertical="top" wrapText="1" readingOrder="1"/>
    </xf>
    <xf numFmtId="0" fontId="9" fillId="4" borderId="0" xfId="0" applyFont="1" applyFill="1" applyAlignment="1">
      <alignment vertical="top"/>
    </xf>
    <xf numFmtId="0" fontId="8" fillId="4" borderId="0" xfId="0" applyFont="1" applyFill="1" applyAlignment="1">
      <alignment horizontal="left" vertical="top" readingOrder="1"/>
    </xf>
    <xf numFmtId="0" fontId="26" fillId="3" borderId="0" xfId="0" applyFont="1" applyFill="1" applyAlignment="1">
      <alignment vertical="top"/>
    </xf>
    <xf numFmtId="0" fontId="26" fillId="3" borderId="0" xfId="0" applyFont="1" applyFill="1"/>
    <xf numFmtId="0" fontId="9" fillId="4" borderId="7" xfId="0" applyFont="1" applyFill="1" applyBorder="1" applyAlignment="1">
      <alignment horizontal="center" vertical="center" wrapText="1"/>
    </xf>
    <xf numFmtId="165" fontId="8" fillId="4" borderId="7" xfId="0" applyNumberFormat="1" applyFont="1" applyFill="1" applyBorder="1" applyAlignment="1">
      <alignment horizontal="center" vertical="center" wrapText="1" readingOrder="1"/>
    </xf>
    <xf numFmtId="0" fontId="8" fillId="4" borderId="7" xfId="0" applyFont="1" applyFill="1" applyBorder="1" applyAlignment="1">
      <alignment horizontal="justify" vertical="center" wrapText="1" readingOrder="1"/>
    </xf>
    <xf numFmtId="165" fontId="8" fillId="4" borderId="7" xfId="0" applyNumberFormat="1" applyFont="1" applyFill="1" applyBorder="1" applyAlignment="1">
      <alignment horizontal="center" vertical="top" wrapText="1" readingOrder="1"/>
    </xf>
    <xf numFmtId="3" fontId="8" fillId="4" borderId="7" xfId="0" applyNumberFormat="1" applyFont="1" applyFill="1" applyBorder="1" applyAlignment="1">
      <alignment horizontal="center" vertical="center" wrapText="1" readingOrder="1"/>
    </xf>
    <xf numFmtId="4" fontId="8" fillId="4" borderId="7" xfId="0" applyNumberFormat="1" applyFont="1" applyFill="1" applyBorder="1" applyAlignment="1">
      <alignment horizontal="center" vertical="top" wrapText="1" readingOrder="1"/>
    </xf>
    <xf numFmtId="4" fontId="8" fillId="3" borderId="14" xfId="0" applyNumberFormat="1" applyFont="1" applyFill="1" applyBorder="1" applyAlignment="1">
      <alignment horizontal="center" vertical="center" wrapText="1" readingOrder="1"/>
    </xf>
    <xf numFmtId="0" fontId="22" fillId="4" borderId="7" xfId="0" applyFont="1" applyFill="1" applyBorder="1" applyAlignment="1">
      <alignment vertical="center" wrapText="1" readingOrder="1"/>
    </xf>
    <xf numFmtId="0" fontId="22" fillId="4" borderId="0" xfId="0" applyFont="1" applyFill="1" applyBorder="1" applyAlignment="1">
      <alignment horizontal="left" vertical="center" wrapText="1" readingOrder="1"/>
    </xf>
    <xf numFmtId="0" fontId="22" fillId="4" borderId="0" xfId="0" applyFont="1" applyFill="1" applyBorder="1" applyAlignment="1">
      <alignment vertical="center" wrapText="1" readingOrder="1"/>
    </xf>
    <xf numFmtId="4" fontId="25" fillId="3" borderId="0" xfId="0" applyNumberFormat="1" applyFont="1" applyFill="1" applyBorder="1" applyAlignment="1">
      <alignment horizontal="center" vertical="center" wrapText="1"/>
    </xf>
    <xf numFmtId="4" fontId="8" fillId="3" borderId="7" xfId="0" applyNumberFormat="1" applyFont="1" applyFill="1" applyBorder="1" applyAlignment="1">
      <alignment horizontal="center" vertical="center" wrapText="1" readingOrder="1"/>
    </xf>
    <xf numFmtId="4" fontId="22" fillId="4" borderId="7" xfId="0" applyNumberFormat="1" applyFont="1" applyFill="1" applyBorder="1" applyAlignment="1">
      <alignment vertical="center" wrapText="1" readingOrder="1"/>
    </xf>
    <xf numFmtId="0" fontId="15" fillId="4" borderId="7" xfId="0" applyFont="1" applyFill="1" applyBorder="1" applyAlignment="1">
      <alignment wrapText="1"/>
    </xf>
    <xf numFmtId="0" fontId="19" fillId="4" borderId="7" xfId="0" applyFont="1" applyFill="1" applyBorder="1" applyAlignment="1">
      <alignment horizontal="center" vertical="top" wrapText="1"/>
    </xf>
    <xf numFmtId="0" fontId="6" fillId="4" borderId="7" xfId="0" applyFont="1" applyFill="1" applyBorder="1" applyAlignment="1">
      <alignment vertical="top" wrapText="1" readingOrder="1"/>
    </xf>
    <xf numFmtId="0" fontId="6" fillId="4" borderId="8" xfId="0" applyFont="1" applyFill="1" applyBorder="1" applyAlignment="1">
      <alignment vertical="top" wrapText="1" readingOrder="1"/>
    </xf>
    <xf numFmtId="0" fontId="6" fillId="4" borderId="7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/>
    </xf>
    <xf numFmtId="0" fontId="4" fillId="4" borderId="7" xfId="0" applyFont="1" applyFill="1" applyBorder="1" applyAlignment="1">
      <alignment vertical="top"/>
    </xf>
    <xf numFmtId="0" fontId="6" fillId="4" borderId="7" xfId="0" applyFont="1" applyFill="1" applyBorder="1" applyAlignment="1">
      <alignment horizontal="justify" vertical="center" wrapText="1" readingOrder="1"/>
    </xf>
    <xf numFmtId="165" fontId="6" fillId="4" borderId="7" xfId="0" applyNumberFormat="1" applyFont="1" applyFill="1" applyBorder="1" applyAlignment="1">
      <alignment horizontal="center" vertical="top" wrapText="1" readingOrder="1"/>
    </xf>
    <xf numFmtId="3" fontId="6" fillId="4" borderId="7" xfId="0" applyNumberFormat="1" applyFont="1" applyFill="1" applyBorder="1" applyAlignment="1">
      <alignment horizontal="center" vertical="center" wrapText="1" readingOrder="1"/>
    </xf>
    <xf numFmtId="0" fontId="6" fillId="4" borderId="7" xfId="0" applyFont="1" applyFill="1" applyBorder="1" applyAlignment="1">
      <alignment horizontal="left" vertical="center" wrapText="1" readingOrder="1"/>
    </xf>
    <xf numFmtId="4" fontId="6" fillId="4" borderId="7" xfId="0" applyNumberFormat="1" applyFont="1" applyFill="1" applyBorder="1" applyAlignment="1">
      <alignment horizontal="center" vertical="top" wrapText="1" readingOrder="1"/>
    </xf>
    <xf numFmtId="0" fontId="6" fillId="3" borderId="14" xfId="0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center" wrapText="1" readingOrder="1"/>
    </xf>
    <xf numFmtId="4" fontId="6" fillId="4" borderId="7" xfId="0" applyNumberFormat="1" applyFont="1" applyFill="1" applyBorder="1" applyAlignment="1">
      <alignment horizontal="center" vertical="top"/>
    </xf>
    <xf numFmtId="4" fontId="6" fillId="3" borderId="14" xfId="0" applyNumberFormat="1" applyFont="1" applyFill="1" applyBorder="1" applyAlignment="1">
      <alignment horizontal="center" vertical="center" wrapText="1" readingOrder="1"/>
    </xf>
    <xf numFmtId="4" fontId="4" fillId="4" borderId="7" xfId="0" applyNumberFormat="1" applyFont="1" applyFill="1" applyBorder="1" applyAlignment="1">
      <alignment vertical="center" wrapText="1" readingOrder="1"/>
    </xf>
    <xf numFmtId="0" fontId="8" fillId="4" borderId="7" xfId="0" applyFont="1" applyFill="1" applyBorder="1" applyAlignment="1">
      <alignment horizontal="center" wrapText="1"/>
    </xf>
    <xf numFmtId="0" fontId="11" fillId="4" borderId="0" xfId="0" applyFont="1" applyFill="1" applyAlignment="1">
      <alignment vertical="top" wrapText="1"/>
    </xf>
    <xf numFmtId="4" fontId="6" fillId="3" borderId="7" xfId="0" applyNumberFormat="1" applyFont="1" applyFill="1" applyBorder="1" applyAlignment="1">
      <alignment horizontal="center" vertical="top" wrapText="1" readingOrder="1"/>
    </xf>
    <xf numFmtId="4" fontId="6" fillId="3" borderId="7" xfId="0" applyNumberFormat="1" applyFont="1" applyFill="1" applyBorder="1" applyAlignment="1">
      <alignment horizontal="center" vertical="center" wrapText="1" readingOrder="1"/>
    </xf>
    <xf numFmtId="4" fontId="8" fillId="3" borderId="7" xfId="0" applyNumberFormat="1" applyFont="1" applyFill="1" applyBorder="1" applyAlignment="1">
      <alignment horizontal="center" vertical="top" wrapText="1" readingOrder="1"/>
    </xf>
    <xf numFmtId="0" fontId="9" fillId="4" borderId="7" xfId="0" applyFont="1" applyFill="1" applyBorder="1"/>
    <xf numFmtId="2" fontId="9" fillId="4" borderId="7" xfId="0" applyNumberFormat="1" applyFont="1" applyFill="1" applyBorder="1"/>
    <xf numFmtId="0" fontId="5" fillId="3" borderId="7" xfId="0" applyFont="1" applyFill="1" applyBorder="1" applyAlignment="1">
      <alignment horizontal="center" vertical="center"/>
    </xf>
    <xf numFmtId="4" fontId="5" fillId="3" borderId="7" xfId="0" applyNumberFormat="1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vertical="center"/>
    </xf>
    <xf numFmtId="0" fontId="5" fillId="4" borderId="15" xfId="0" applyFont="1" applyFill="1" applyBorder="1" applyAlignment="1">
      <alignment vertical="center" wrapText="1"/>
    </xf>
    <xf numFmtId="0" fontId="5" fillId="4" borderId="7" xfId="0" applyFont="1" applyFill="1" applyBorder="1" applyAlignment="1">
      <alignment vertical="center" wrapText="1"/>
    </xf>
    <xf numFmtId="0" fontId="4" fillId="4" borderId="0" xfId="0" applyFont="1" applyFill="1" applyBorder="1" applyAlignment="1">
      <alignment horizontal="right" vertical="top" wrapText="1" readingOrder="1"/>
    </xf>
    <xf numFmtId="4" fontId="4" fillId="4" borderId="0" xfId="0" applyNumberFormat="1" applyFont="1" applyFill="1" applyBorder="1" applyAlignment="1">
      <alignment horizontal="center" vertical="top" wrapText="1" readingOrder="1"/>
    </xf>
    <xf numFmtId="2" fontId="6" fillId="4" borderId="7" xfId="0" applyNumberFormat="1" applyFont="1" applyFill="1" applyBorder="1" applyAlignment="1">
      <alignment horizontal="center" vertical="top" wrapText="1" readingOrder="1"/>
    </xf>
    <xf numFmtId="0" fontId="8" fillId="4" borderId="7" xfId="0" applyFont="1" applyFill="1" applyBorder="1" applyAlignment="1">
      <alignment horizontal="center" vertical="center" wrapText="1" readingOrder="1"/>
    </xf>
    <xf numFmtId="0" fontId="6" fillId="4" borderId="7" xfId="0" applyFont="1" applyFill="1" applyBorder="1" applyAlignment="1">
      <alignment horizontal="left" vertical="top" wrapText="1" readingOrder="1"/>
    </xf>
    <xf numFmtId="0" fontId="6" fillId="4" borderId="7" xfId="0" applyFont="1" applyFill="1" applyBorder="1" applyAlignment="1">
      <alignment horizontal="left" vertical="top" wrapText="1"/>
    </xf>
    <xf numFmtId="0" fontId="15" fillId="0" borderId="7" xfId="0" applyFont="1" applyBorder="1" applyAlignment="1">
      <alignment horizontal="center" wrapText="1"/>
    </xf>
    <xf numFmtId="0" fontId="15" fillId="0" borderId="7" xfId="0" applyFont="1" applyBorder="1" applyAlignment="1">
      <alignment wrapText="1"/>
    </xf>
    <xf numFmtId="0" fontId="15" fillId="0" borderId="7" xfId="0" applyFont="1" applyBorder="1" applyAlignment="1">
      <alignment horizontal="center"/>
    </xf>
    <xf numFmtId="0" fontId="23" fillId="0" borderId="7" xfId="0" applyFont="1" applyBorder="1" applyAlignment="1">
      <alignment horizontal="center"/>
    </xf>
    <xf numFmtId="16" fontId="15" fillId="0" borderId="7" xfId="0" applyNumberFormat="1" applyFont="1" applyBorder="1" applyAlignment="1">
      <alignment horizontal="center" wrapText="1"/>
    </xf>
    <xf numFmtId="0" fontId="31" fillId="4" borderId="7" xfId="0" applyFont="1" applyFill="1" applyBorder="1" applyAlignment="1">
      <alignment vertical="top" wrapText="1" readingOrder="1"/>
    </xf>
    <xf numFmtId="0" fontId="31" fillId="4" borderId="15" xfId="0" applyFont="1" applyFill="1" applyBorder="1" applyAlignment="1">
      <alignment vertical="top" wrapText="1"/>
    </xf>
    <xf numFmtId="0" fontId="31" fillId="4" borderId="7" xfId="0" applyFont="1" applyFill="1" applyBorder="1" applyAlignment="1">
      <alignment vertical="top" wrapText="1"/>
    </xf>
    <xf numFmtId="4" fontId="5" fillId="4" borderId="7" xfId="0" applyNumberFormat="1" applyFont="1" applyFill="1" applyBorder="1" applyAlignment="1">
      <alignment vertical="top" wrapText="1"/>
    </xf>
    <xf numFmtId="4" fontId="19" fillId="4" borderId="0" xfId="0" applyNumberFormat="1" applyFont="1" applyFill="1" applyBorder="1" applyAlignment="1">
      <alignment horizontal="center" vertical="top" wrapText="1"/>
    </xf>
    <xf numFmtId="4" fontId="19" fillId="4" borderId="0" xfId="0" applyNumberFormat="1" applyFont="1" applyFill="1" applyBorder="1" applyAlignment="1">
      <alignment horizontal="center" vertical="top" wrapText="1" readingOrder="1"/>
    </xf>
    <xf numFmtId="4" fontId="19" fillId="4" borderId="0" xfId="0" applyNumberFormat="1" applyFont="1" applyFill="1" applyBorder="1" applyAlignment="1">
      <alignment horizontal="center" vertical="top"/>
    </xf>
    <xf numFmtId="0" fontId="5" fillId="0" borderId="7" xfId="0" applyFont="1" applyBorder="1" applyAlignment="1">
      <alignment horizontal="center"/>
    </xf>
    <xf numFmtId="167" fontId="5" fillId="0" borderId="7" xfId="0" applyNumberFormat="1" applyFont="1" applyFill="1" applyBorder="1" applyAlignment="1">
      <alignment horizontal="center" wrapText="1"/>
    </xf>
    <xf numFmtId="0" fontId="31" fillId="0" borderId="7" xfId="0" applyFont="1" applyFill="1" applyBorder="1" applyAlignment="1">
      <alignment wrapText="1"/>
    </xf>
    <xf numFmtId="0" fontId="31" fillId="4" borderId="15" xfId="0" applyFont="1" applyFill="1" applyBorder="1" applyAlignment="1">
      <alignment vertical="top" wrapText="1" readingOrder="1"/>
    </xf>
    <xf numFmtId="0" fontId="31" fillId="4" borderId="15" xfId="0" applyFont="1" applyFill="1" applyBorder="1" applyAlignment="1">
      <alignment wrapText="1"/>
    </xf>
    <xf numFmtId="0" fontId="5" fillId="4" borderId="7" xfId="0" applyFont="1" applyFill="1" applyBorder="1" applyAlignment="1">
      <alignment horizontal="left" vertical="top" wrapText="1" readingOrder="1"/>
    </xf>
    <xf numFmtId="0" fontId="20" fillId="4" borderId="7" xfId="0" applyFont="1" applyFill="1" applyBorder="1" applyAlignment="1">
      <alignment horizontal="left" wrapText="1"/>
    </xf>
    <xf numFmtId="0" fontId="8" fillId="4" borderId="7" xfId="0" applyFont="1" applyFill="1" applyBorder="1" applyAlignment="1">
      <alignment horizontal="left" wrapText="1"/>
    </xf>
    <xf numFmtId="0" fontId="31" fillId="0" borderId="15" xfId="0" applyFont="1" applyBorder="1" applyAlignment="1">
      <alignment horizontal="left" wrapText="1"/>
    </xf>
    <xf numFmtId="0" fontId="8" fillId="4" borderId="7" xfId="0" applyFont="1" applyFill="1" applyBorder="1" applyAlignment="1">
      <alignment horizontal="left" vertical="center" wrapText="1" readingOrder="1"/>
    </xf>
    <xf numFmtId="0" fontId="5" fillId="4" borderId="0" xfId="0" applyFont="1" applyFill="1" applyAlignment="1">
      <alignment vertical="top" wrapText="1"/>
    </xf>
    <xf numFmtId="164" fontId="28" fillId="4" borderId="7" xfId="1" applyFont="1" applyFill="1" applyBorder="1" applyAlignment="1">
      <alignment vertical="top" wrapText="1"/>
    </xf>
    <xf numFmtId="0" fontId="20" fillId="4" borderId="15" xfId="0" applyFont="1" applyFill="1" applyBorder="1" applyAlignment="1">
      <alignment vertical="center" wrapText="1"/>
    </xf>
    <xf numFmtId="0" fontId="20" fillId="3" borderId="15" xfId="0" applyFont="1" applyFill="1" applyBorder="1" applyAlignment="1">
      <alignment vertical="center" wrapText="1"/>
    </xf>
    <xf numFmtId="0" fontId="15" fillId="4" borderId="7" xfId="0" applyFont="1" applyFill="1" applyBorder="1" applyAlignment="1">
      <alignment horizontal="center" wrapText="1"/>
    </xf>
    <xf numFmtId="0" fontId="15" fillId="4" borderId="7" xfId="0" applyFont="1" applyFill="1" applyBorder="1" applyAlignment="1">
      <alignment horizontal="center"/>
    </xf>
    <xf numFmtId="16" fontId="15" fillId="4" borderId="7" xfId="0" applyNumberFormat="1" applyFont="1" applyFill="1" applyBorder="1" applyAlignment="1">
      <alignment horizontal="center" wrapText="1"/>
    </xf>
    <xf numFmtId="0" fontId="23" fillId="4" borderId="7" xfId="0" applyFont="1" applyFill="1" applyBorder="1" applyAlignment="1">
      <alignment horizontal="center"/>
    </xf>
    <xf numFmtId="0" fontId="5" fillId="4" borderId="7" xfId="0" applyFont="1" applyFill="1" applyBorder="1"/>
    <xf numFmtId="0" fontId="5" fillId="4" borderId="7" xfId="0" applyFont="1" applyFill="1" applyBorder="1" applyAlignment="1">
      <alignment horizontal="center"/>
    </xf>
    <xf numFmtId="167" fontId="5" fillId="4" borderId="7" xfId="0" applyNumberFormat="1" applyFont="1" applyFill="1" applyBorder="1" applyAlignment="1">
      <alignment horizontal="center" wrapText="1"/>
    </xf>
    <xf numFmtId="0" fontId="31" fillId="4" borderId="15" xfId="0" applyFont="1" applyFill="1" applyBorder="1" applyAlignment="1">
      <alignment horizontal="left" wrapText="1"/>
    </xf>
    <xf numFmtId="0" fontId="31" fillId="4" borderId="7" xfId="0" applyFont="1" applyFill="1" applyBorder="1" applyAlignment="1">
      <alignment wrapText="1"/>
    </xf>
    <xf numFmtId="0" fontId="0" fillId="4" borderId="7" xfId="0" applyFill="1" applyBorder="1"/>
    <xf numFmtId="4" fontId="8" fillId="4" borderId="0" xfId="0" applyNumberFormat="1" applyFont="1" applyFill="1" applyBorder="1" applyAlignment="1">
      <alignment horizontal="center" wrapText="1"/>
    </xf>
    <xf numFmtId="4" fontId="8" fillId="4" borderId="0" xfId="0" applyNumberFormat="1" applyFont="1" applyFill="1" applyBorder="1" applyAlignment="1">
      <alignment horizontal="center" vertical="center" wrapText="1" readingOrder="1"/>
    </xf>
    <xf numFmtId="0" fontId="35" fillId="0" borderId="0" xfId="0" applyFont="1" applyAlignment="1">
      <alignment wrapText="1"/>
    </xf>
    <xf numFmtId="0" fontId="31" fillId="4" borderId="7" xfId="0" applyFont="1" applyFill="1" applyBorder="1" applyAlignment="1">
      <alignment horizontal="center" vertical="center" wrapText="1" readingOrder="1"/>
    </xf>
    <xf numFmtId="0" fontId="8" fillId="4" borderId="0" xfId="0" applyFont="1" applyFill="1" applyBorder="1" applyAlignment="1">
      <alignment horizontal="justify" vertical="center" wrapText="1" readingOrder="1"/>
    </xf>
    <xf numFmtId="4" fontId="8" fillId="4" borderId="0" xfId="0" applyNumberFormat="1" applyFont="1" applyFill="1" applyBorder="1" applyAlignment="1">
      <alignment horizontal="center" vertical="top" wrapText="1" readingOrder="1"/>
    </xf>
    <xf numFmtId="165" fontId="8" fillId="4" borderId="0" xfId="0" applyNumberFormat="1" applyFont="1" applyFill="1" applyBorder="1" applyAlignment="1">
      <alignment horizontal="center" vertical="top" wrapText="1" readingOrder="1"/>
    </xf>
    <xf numFmtId="3" fontId="8" fillId="4" borderId="0" xfId="0" applyNumberFormat="1" applyFont="1" applyFill="1" applyBorder="1" applyAlignment="1">
      <alignment horizontal="center" vertical="center" wrapText="1" readingOrder="1"/>
    </xf>
    <xf numFmtId="164" fontId="5" fillId="4" borderId="7" xfId="1" applyFont="1" applyFill="1" applyBorder="1" applyAlignment="1">
      <alignment vertical="top" wrapText="1"/>
    </xf>
    <xf numFmtId="0" fontId="28" fillId="4" borderId="0" xfId="0" applyFont="1" applyFill="1" applyBorder="1" applyAlignment="1">
      <alignment vertical="top" wrapText="1"/>
    </xf>
    <xf numFmtId="0" fontId="22" fillId="4" borderId="0" xfId="0" applyFont="1" applyFill="1" applyBorder="1" applyAlignment="1">
      <alignment horizontal="center" vertical="top" wrapText="1" readingOrder="1"/>
    </xf>
    <xf numFmtId="0" fontId="28" fillId="4" borderId="15" xfId="0" applyFont="1" applyFill="1" applyBorder="1" applyAlignment="1">
      <alignment horizontal="center" vertical="top" wrapText="1"/>
    </xf>
    <xf numFmtId="0" fontId="28" fillId="4" borderId="13" xfId="0" applyFont="1" applyFill="1" applyBorder="1" applyAlignment="1">
      <alignment vertical="top" wrapText="1"/>
    </xf>
    <xf numFmtId="0" fontId="4" fillId="4" borderId="10" xfId="0" applyFont="1" applyFill="1" applyBorder="1" applyAlignment="1"/>
    <xf numFmtId="0" fontId="6" fillId="4" borderId="10" xfId="0" applyFont="1" applyFill="1" applyBorder="1" applyAlignment="1"/>
    <xf numFmtId="0" fontId="6" fillId="4" borderId="7" xfId="0" applyFont="1" applyFill="1" applyBorder="1" applyAlignment="1">
      <alignment horizontal="center" vertical="center" wrapText="1"/>
    </xf>
    <xf numFmtId="0" fontId="4" fillId="3" borderId="0" xfId="0" applyFont="1" applyFill="1"/>
    <xf numFmtId="0" fontId="4" fillId="4" borderId="0" xfId="0" applyFont="1" applyFill="1"/>
    <xf numFmtId="0" fontId="6" fillId="4" borderId="7" xfId="0" applyFont="1" applyFill="1" applyBorder="1"/>
    <xf numFmtId="0" fontId="6" fillId="4" borderId="0" xfId="0" applyFont="1" applyFill="1" applyAlignment="1">
      <alignment vertical="top"/>
    </xf>
    <xf numFmtId="0" fontId="4" fillId="3" borderId="0" xfId="0" applyFont="1" applyFill="1" applyAlignment="1">
      <alignment vertical="top"/>
    </xf>
    <xf numFmtId="0" fontId="8" fillId="4" borderId="7" xfId="0" applyFont="1" applyFill="1" applyBorder="1"/>
    <xf numFmtId="2" fontId="8" fillId="4" borderId="7" xfId="0" applyNumberFormat="1" applyFont="1" applyFill="1" applyBorder="1"/>
    <xf numFmtId="0" fontId="6" fillId="3" borderId="0" xfId="0" applyFont="1" applyFill="1"/>
    <xf numFmtId="0" fontId="6" fillId="3" borderId="0" xfId="0" applyFont="1" applyFill="1" applyAlignment="1">
      <alignment vertical="top"/>
    </xf>
    <xf numFmtId="4" fontId="6" fillId="4" borderId="0" xfId="0" applyNumberFormat="1" applyFont="1" applyFill="1"/>
    <xf numFmtId="0" fontId="5" fillId="4" borderId="7" xfId="0" applyFont="1" applyFill="1" applyBorder="1" applyAlignment="1">
      <alignment horizontal="center" vertical="top" wrapText="1"/>
    </xf>
    <xf numFmtId="0" fontId="20" fillId="4" borderId="0" xfId="0" applyFont="1" applyFill="1" applyAlignment="1">
      <alignment vertical="center" wrapText="1"/>
    </xf>
    <xf numFmtId="0" fontId="36" fillId="4" borderId="0" xfId="0" applyFont="1" applyFill="1" applyAlignment="1">
      <alignment horizontal="left"/>
    </xf>
    <xf numFmtId="4" fontId="9" fillId="4" borderId="7" xfId="0" applyNumberFormat="1" applyFont="1" applyFill="1" applyBorder="1" applyAlignment="1">
      <alignment horizontal="center" vertical="center"/>
    </xf>
    <xf numFmtId="4" fontId="9" fillId="4" borderId="7" xfId="0" applyNumberFormat="1" applyFont="1" applyFill="1" applyBorder="1"/>
    <xf numFmtId="4" fontId="9" fillId="4" borderId="0" xfId="0" applyNumberFormat="1" applyFont="1" applyFill="1" applyBorder="1"/>
    <xf numFmtId="0" fontId="9" fillId="4" borderId="0" xfId="0" applyFont="1" applyFill="1" applyBorder="1"/>
    <xf numFmtId="4" fontId="36" fillId="4" borderId="0" xfId="0" applyNumberFormat="1" applyFont="1" applyFill="1" applyBorder="1"/>
    <xf numFmtId="0" fontId="35" fillId="4" borderId="7" xfId="0" applyFont="1" applyFill="1" applyBorder="1" applyAlignment="1">
      <alignment vertical="top" wrapText="1"/>
    </xf>
    <xf numFmtId="164" fontId="35" fillId="4" borderId="7" xfId="0" applyNumberFormat="1" applyFont="1" applyFill="1" applyBorder="1" applyAlignment="1">
      <alignment vertical="top" wrapText="1"/>
    </xf>
    <xf numFmtId="165" fontId="9" fillId="4" borderId="0" xfId="0" applyNumberFormat="1" applyFont="1" applyFill="1"/>
    <xf numFmtId="4" fontId="6" fillId="4" borderId="7" xfId="0" applyNumberFormat="1" applyFont="1" applyFill="1" applyBorder="1" applyAlignment="1">
      <alignment horizontal="center" vertical="center"/>
    </xf>
    <xf numFmtId="166" fontId="6" fillId="4" borderId="0" xfId="0" applyNumberFormat="1" applyFont="1" applyFill="1"/>
    <xf numFmtId="165" fontId="6" fillId="4" borderId="0" xfId="0" applyNumberFormat="1" applyFont="1" applyFill="1"/>
    <xf numFmtId="4" fontId="12" fillId="4" borderId="0" xfId="0" applyNumberFormat="1" applyFont="1" applyFill="1" applyBorder="1"/>
    <xf numFmtId="164" fontId="5" fillId="4" borderId="7" xfId="0" applyNumberFormat="1" applyFont="1" applyFill="1" applyBorder="1" applyAlignment="1">
      <alignment vertical="top" wrapText="1"/>
    </xf>
    <xf numFmtId="166" fontId="4" fillId="4" borderId="0" xfId="0" applyNumberFormat="1" applyFont="1" applyFill="1"/>
    <xf numFmtId="4" fontId="8" fillId="4" borderId="0" xfId="0" applyNumberFormat="1" applyFont="1" applyFill="1"/>
    <xf numFmtId="0" fontId="37" fillId="4" borderId="0" xfId="0" applyFont="1" applyFill="1"/>
    <xf numFmtId="4" fontId="6" fillId="4" borderId="7" xfId="0" applyNumberFormat="1" applyFont="1" applyFill="1" applyBorder="1"/>
    <xf numFmtId="165" fontId="8" fillId="4" borderId="0" xfId="0" applyNumberFormat="1" applyFont="1" applyFill="1"/>
    <xf numFmtId="4" fontId="6" fillId="4" borderId="0" xfId="0" applyNumberFormat="1" applyFont="1" applyFill="1" applyBorder="1"/>
    <xf numFmtId="0" fontId="5" fillId="4" borderId="7" xfId="3" applyFont="1" applyFill="1" applyBorder="1" applyAlignment="1">
      <alignment vertical="center"/>
    </xf>
    <xf numFmtId="0" fontId="36" fillId="4" borderId="0" xfId="0" applyFont="1" applyFill="1"/>
    <xf numFmtId="0" fontId="8" fillId="4" borderId="0" xfId="0" applyFont="1" applyFill="1" applyAlignment="1">
      <alignment horizontal="left" vertical="top" wrapText="1"/>
    </xf>
    <xf numFmtId="0" fontId="37" fillId="4" borderId="7" xfId="0" applyFont="1" applyFill="1" applyBorder="1" applyAlignment="1">
      <alignment horizontal="center" vertical="center" wrapText="1" readingOrder="1"/>
    </xf>
    <xf numFmtId="0" fontId="37" fillId="4" borderId="7" xfId="0" applyNumberFormat="1" applyFont="1" applyFill="1" applyBorder="1" applyAlignment="1">
      <alignment horizontal="center" vertical="center" wrapText="1" readingOrder="1"/>
    </xf>
    <xf numFmtId="0" fontId="37" fillId="4" borderId="13" xfId="0" applyFont="1" applyFill="1" applyBorder="1" applyAlignment="1">
      <alignment horizontal="center" vertical="center" wrapText="1" readingOrder="1"/>
    </xf>
    <xf numFmtId="0" fontId="37" fillId="4" borderId="3" xfId="0" applyFont="1" applyFill="1" applyBorder="1" applyAlignment="1">
      <alignment horizontal="center" vertical="center" wrapText="1" readingOrder="1"/>
    </xf>
    <xf numFmtId="0" fontId="37" fillId="3" borderId="7" xfId="0" applyFont="1" applyFill="1" applyBorder="1" applyAlignment="1">
      <alignment horizontal="center" vertical="center" wrapText="1" readingOrder="1"/>
    </xf>
    <xf numFmtId="0" fontId="37" fillId="4" borderId="1" xfId="0" applyFont="1" applyFill="1" applyBorder="1" applyAlignment="1">
      <alignment horizontal="center" vertical="center" wrapText="1" readingOrder="1"/>
    </xf>
    <xf numFmtId="0" fontId="8" fillId="4" borderId="7" xfId="0" applyFont="1" applyFill="1" applyBorder="1" applyAlignment="1">
      <alignment horizontal="center" wrapText="1" readingOrder="1"/>
    </xf>
    <xf numFmtId="0" fontId="8" fillId="4" borderId="3" xfId="0" applyFont="1" applyFill="1" applyBorder="1" applyAlignment="1">
      <alignment horizontal="center" wrapText="1" readingOrder="1"/>
    </xf>
    <xf numFmtId="0" fontId="8" fillId="4" borderId="1" xfId="0" applyFont="1" applyFill="1" applyBorder="1" applyAlignment="1">
      <alignment horizontal="center" wrapText="1" readingOrder="1"/>
    </xf>
    <xf numFmtId="0" fontId="8" fillId="4" borderId="1" xfId="0" applyFont="1" applyFill="1" applyBorder="1" applyAlignment="1">
      <alignment horizontal="center" vertical="center" wrapText="1" readingOrder="1"/>
    </xf>
    <xf numFmtId="4" fontId="22" fillId="4" borderId="1" xfId="0" applyNumberFormat="1" applyFont="1" applyFill="1" applyBorder="1" applyAlignment="1">
      <alignment horizontal="center" vertical="center" wrapText="1" readingOrder="1"/>
    </xf>
    <xf numFmtId="0" fontId="8" fillId="4" borderId="0" xfId="0" applyFont="1" applyFill="1" applyAlignment="1">
      <alignment vertical="top" wrapText="1"/>
    </xf>
    <xf numFmtId="4" fontId="36" fillId="4" borderId="0" xfId="0" applyNumberFormat="1" applyFont="1" applyFill="1"/>
    <xf numFmtId="0" fontId="8" fillId="4" borderId="7" xfId="0" applyFont="1" applyFill="1" applyBorder="1" applyAlignment="1">
      <alignment wrapText="1" readingOrder="1"/>
    </xf>
    <xf numFmtId="0" fontId="8" fillId="4" borderId="21" xfId="0" applyFont="1" applyFill="1" applyBorder="1" applyAlignment="1">
      <alignment horizontal="center" wrapText="1" readingOrder="1"/>
    </xf>
    <xf numFmtId="0" fontId="37" fillId="3" borderId="13" xfId="0" applyFont="1" applyFill="1" applyBorder="1" applyAlignment="1">
      <alignment horizontal="center" vertical="center" wrapText="1" readingOrder="1"/>
    </xf>
    <xf numFmtId="0" fontId="37" fillId="3" borderId="3" xfId="0" applyFont="1" applyFill="1" applyBorder="1" applyAlignment="1">
      <alignment horizontal="center" vertical="center" wrapText="1" readingOrder="1"/>
    </xf>
    <xf numFmtId="0" fontId="37" fillId="3" borderId="1" xfId="0" applyFont="1" applyFill="1" applyBorder="1" applyAlignment="1">
      <alignment horizontal="center" vertical="center" wrapText="1" readingOrder="1"/>
    </xf>
    <xf numFmtId="164" fontId="28" fillId="4" borderId="0" xfId="1" applyFont="1" applyFill="1" applyBorder="1" applyAlignment="1">
      <alignment vertical="top" wrapText="1"/>
    </xf>
    <xf numFmtId="0" fontId="5" fillId="4" borderId="0" xfId="0" applyFont="1" applyFill="1" applyBorder="1" applyAlignment="1">
      <alignment vertical="top" wrapText="1"/>
    </xf>
    <xf numFmtId="164" fontId="21" fillId="4" borderId="0" xfId="1" applyFont="1" applyFill="1" applyBorder="1" applyAlignment="1">
      <alignment vertical="top" wrapText="1"/>
    </xf>
    <xf numFmtId="0" fontId="23" fillId="4" borderId="7" xfId="0" applyFont="1" applyFill="1" applyBorder="1" applyAlignment="1">
      <alignment vertical="top" wrapText="1"/>
    </xf>
    <xf numFmtId="0" fontId="8" fillId="4" borderId="15" xfId="0" applyFont="1" applyFill="1" applyBorder="1" applyAlignment="1">
      <alignment horizontal="left" vertical="center" wrapText="1" readingOrder="1"/>
    </xf>
    <xf numFmtId="4" fontId="19" fillId="4" borderId="7" xfId="0" applyNumberFormat="1" applyFont="1" applyFill="1" applyBorder="1" applyAlignment="1">
      <alignment horizontal="center" vertical="top" wrapText="1" readingOrder="1"/>
    </xf>
    <xf numFmtId="0" fontId="30" fillId="4" borderId="7" xfId="0" applyFont="1" applyFill="1" applyBorder="1" applyAlignment="1">
      <alignment horizontal="center" vertical="top" wrapText="1"/>
    </xf>
    <xf numFmtId="0" fontId="30" fillId="4" borderId="7" xfId="0" applyFont="1" applyFill="1" applyBorder="1" applyAlignment="1">
      <alignment horizontal="left" vertical="top" wrapText="1"/>
    </xf>
    <xf numFmtId="4" fontId="30" fillId="4" borderId="7" xfId="0" applyNumberFormat="1" applyFont="1" applyFill="1" applyBorder="1" applyAlignment="1">
      <alignment vertical="top" wrapText="1"/>
    </xf>
    <xf numFmtId="1" fontId="8" fillId="4" borderId="16" xfId="0" applyNumberFormat="1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top" wrapText="1"/>
    </xf>
    <xf numFmtId="0" fontId="5" fillId="4" borderId="15" xfId="0" applyFont="1" applyFill="1" applyBorder="1" applyAlignment="1">
      <alignment vertical="top" wrapText="1"/>
    </xf>
    <xf numFmtId="0" fontId="5" fillId="4" borderId="7" xfId="0" applyFont="1" applyFill="1" applyBorder="1" applyAlignment="1">
      <alignment vertical="top" wrapText="1"/>
    </xf>
    <xf numFmtId="164" fontId="21" fillId="4" borderId="7" xfId="1" applyFont="1" applyFill="1" applyBorder="1" applyAlignment="1">
      <alignment vertical="top" wrapText="1"/>
    </xf>
    <xf numFmtId="168" fontId="8" fillId="4" borderId="7" xfId="0" applyNumberFormat="1" applyFont="1" applyFill="1" applyBorder="1" applyAlignment="1">
      <alignment horizontal="center" vertical="center" wrapText="1" readingOrder="1"/>
    </xf>
    <xf numFmtId="0" fontId="6" fillId="4" borderId="16" xfId="0" applyFont="1" applyFill="1" applyBorder="1" applyAlignment="1">
      <alignment horizontal="left"/>
    </xf>
    <xf numFmtId="168" fontId="6" fillId="4" borderId="7" xfId="0" applyNumberFormat="1" applyFont="1" applyFill="1" applyBorder="1" applyAlignment="1">
      <alignment horizontal="center" vertical="center" wrapText="1" readingOrder="1"/>
    </xf>
    <xf numFmtId="167" fontId="5" fillId="0" borderId="13" xfId="0" applyNumberFormat="1" applyFont="1" applyFill="1" applyBorder="1" applyAlignment="1">
      <alignment horizontal="center"/>
    </xf>
    <xf numFmtId="167" fontId="5" fillId="4" borderId="13" xfId="0" applyNumberFormat="1" applyFont="1" applyFill="1" applyBorder="1" applyAlignment="1">
      <alignment horizontal="center"/>
    </xf>
    <xf numFmtId="167" fontId="15" fillId="4" borderId="7" xfId="0" applyNumberFormat="1" applyFont="1" applyFill="1" applyBorder="1" applyAlignment="1">
      <alignment horizontal="center" wrapText="1"/>
    </xf>
    <xf numFmtId="0" fontId="31" fillId="4" borderId="13" xfId="0" applyFont="1" applyFill="1" applyBorder="1" applyAlignment="1">
      <alignment horizontal="center" wrapText="1"/>
    </xf>
    <xf numFmtId="167" fontId="20" fillId="4" borderId="7" xfId="0" applyNumberFormat="1" applyFont="1" applyFill="1" applyBorder="1" applyAlignment="1">
      <alignment horizontal="center" vertical="top" wrapText="1" readingOrder="1"/>
    </xf>
    <xf numFmtId="167" fontId="15" fillId="0" borderId="7" xfId="0" applyNumberFormat="1" applyFont="1" applyBorder="1" applyAlignment="1">
      <alignment horizontal="center" wrapText="1"/>
    </xf>
    <xf numFmtId="167" fontId="15" fillId="0" borderId="7" xfId="0" applyNumberFormat="1" applyFont="1" applyFill="1" applyBorder="1" applyAlignment="1">
      <alignment horizontal="center" wrapText="1"/>
    </xf>
    <xf numFmtId="0" fontId="31" fillId="0" borderId="13" xfId="0" applyFont="1" applyBorder="1" applyAlignment="1">
      <alignment horizontal="center" wrapText="1"/>
    </xf>
    <xf numFmtId="0" fontId="31" fillId="4" borderId="7" xfId="0" applyFont="1" applyFill="1" applyBorder="1" applyAlignment="1">
      <alignment horizontal="center" vertical="top" wrapText="1"/>
    </xf>
    <xf numFmtId="167" fontId="8" fillId="4" borderId="7" xfId="0" applyNumberFormat="1" applyFont="1" applyFill="1" applyBorder="1" applyAlignment="1">
      <alignment horizontal="center" wrapText="1"/>
    </xf>
    <xf numFmtId="167" fontId="5" fillId="4" borderId="7" xfId="0" applyNumberFormat="1" applyFont="1" applyFill="1" applyBorder="1" applyAlignment="1">
      <alignment vertical="top" wrapText="1"/>
    </xf>
    <xf numFmtId="4" fontId="5" fillId="4" borderId="16" xfId="1" applyNumberFormat="1" applyFont="1" applyFill="1" applyBorder="1" applyAlignment="1">
      <alignment vertical="top" wrapText="1"/>
    </xf>
    <xf numFmtId="4" fontId="5" fillId="4" borderId="15" xfId="0" applyNumberFormat="1" applyFont="1" applyFill="1" applyBorder="1" applyAlignment="1">
      <alignment vertical="top" wrapText="1"/>
    </xf>
    <xf numFmtId="4" fontId="5" fillId="4" borderId="16" xfId="0" applyNumberFormat="1" applyFont="1" applyFill="1" applyBorder="1" applyAlignment="1">
      <alignment vertical="top" wrapText="1"/>
    </xf>
    <xf numFmtId="0" fontId="8" fillId="4" borderId="7" xfId="0" applyFont="1" applyFill="1" applyBorder="1" applyAlignment="1">
      <alignment horizontal="center" vertical="center" wrapText="1" readingOrder="1"/>
    </xf>
    <xf numFmtId="0" fontId="5" fillId="4" borderId="10" xfId="0" applyFont="1" applyFill="1" applyBorder="1" applyAlignment="1">
      <alignment vertical="top" wrapText="1"/>
    </xf>
    <xf numFmtId="4" fontId="8" fillId="4" borderId="9" xfId="0" applyNumberFormat="1" applyFont="1" applyFill="1" applyBorder="1" applyAlignment="1">
      <alignment horizontal="center" vertical="center" wrapText="1" readingOrder="1"/>
    </xf>
    <xf numFmtId="0" fontId="4" fillId="4" borderId="10" xfId="0" applyFont="1" applyFill="1" applyBorder="1" applyAlignment="1">
      <alignment horizontal="right" vertical="top" wrapText="1" readingOrder="1"/>
    </xf>
    <xf numFmtId="4" fontId="21" fillId="4" borderId="10" xfId="0" applyNumberFormat="1" applyFont="1" applyFill="1" applyBorder="1" applyAlignment="1">
      <alignment horizontal="center" vertical="top" wrapText="1" readingOrder="1"/>
    </xf>
    <xf numFmtId="4" fontId="6" fillId="4" borderId="10" xfId="0" applyNumberFormat="1" applyFont="1" applyFill="1" applyBorder="1"/>
    <xf numFmtId="4" fontId="38" fillId="4" borderId="18" xfId="1" applyNumberFormat="1" applyFont="1" applyFill="1" applyBorder="1" applyAlignment="1">
      <alignment horizontal="right" vertical="top" wrapText="1"/>
    </xf>
    <xf numFmtId="4" fontId="38" fillId="4" borderId="23" xfId="1" applyNumberFormat="1" applyFont="1" applyFill="1" applyBorder="1" applyAlignment="1">
      <alignment horizontal="right" vertical="top" wrapText="1"/>
    </xf>
    <xf numFmtId="2" fontId="8" fillId="4" borderId="7" xfId="0" applyNumberFormat="1" applyFont="1" applyFill="1" applyBorder="1" applyAlignment="1">
      <alignment horizontal="center" vertical="center" wrapText="1" readingOrder="1"/>
    </xf>
    <xf numFmtId="1" fontId="8" fillId="4" borderId="7" xfId="0" applyNumberFormat="1" applyFont="1" applyFill="1" applyBorder="1" applyAlignment="1">
      <alignment horizontal="center" vertical="center"/>
    </xf>
    <xf numFmtId="0" fontId="5" fillId="0" borderId="15" xfId="0" applyFont="1" applyBorder="1"/>
    <xf numFmtId="0" fontId="33" fillId="4" borderId="7" xfId="0" applyFont="1" applyFill="1" applyBorder="1" applyAlignment="1">
      <alignment horizontal="left" wrapText="1"/>
    </xf>
    <xf numFmtId="0" fontId="31" fillId="4" borderId="7" xfId="0" applyFont="1" applyFill="1" applyBorder="1" applyAlignment="1">
      <alignment horizontal="center" wrapText="1"/>
    </xf>
    <xf numFmtId="0" fontId="41" fillId="4" borderId="7" xfId="0" applyFont="1" applyFill="1" applyBorder="1" applyAlignment="1">
      <alignment horizontal="center"/>
    </xf>
    <xf numFmtId="0" fontId="5" fillId="4" borderId="13" xfId="3" applyFont="1" applyFill="1" applyBorder="1" applyAlignment="1">
      <alignment vertical="center"/>
    </xf>
    <xf numFmtId="0" fontId="5" fillId="4" borderId="13" xfId="0" applyFont="1" applyFill="1" applyBorder="1" applyAlignment="1">
      <alignment vertical="center" wrapText="1"/>
    </xf>
    <xf numFmtId="4" fontId="21" fillId="3" borderId="0" xfId="0" applyNumberFormat="1" applyFont="1" applyFill="1" applyBorder="1" applyAlignment="1">
      <alignment horizontal="center" vertical="center" wrapText="1"/>
    </xf>
    <xf numFmtId="4" fontId="38" fillId="4" borderId="10" xfId="1" applyNumberFormat="1" applyFont="1" applyFill="1" applyBorder="1" applyAlignment="1">
      <alignment horizontal="right" vertical="top" wrapText="1"/>
    </xf>
    <xf numFmtId="0" fontId="5" fillId="3" borderId="13" xfId="0" applyFont="1" applyFill="1" applyBorder="1" applyAlignment="1">
      <alignment horizontal="center" vertical="center"/>
    </xf>
    <xf numFmtId="0" fontId="0" fillId="4" borderId="7" xfId="0" applyFill="1" applyBorder="1" applyAlignment="1">
      <alignment horizontal="center"/>
    </xf>
    <xf numFmtId="0" fontId="23" fillId="4" borderId="15" xfId="0" applyFont="1" applyFill="1" applyBorder="1" applyAlignment="1">
      <alignment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23" fillId="4" borderId="7" xfId="0" applyFont="1" applyFill="1" applyBorder="1" applyAlignment="1">
      <alignment vertical="center" wrapText="1"/>
    </xf>
    <xf numFmtId="4" fontId="30" fillId="4" borderId="7" xfId="0" applyNumberFormat="1" applyFont="1" applyFill="1" applyBorder="1" applyAlignment="1">
      <alignment horizontal="right" vertical="center" wrapText="1"/>
    </xf>
    <xf numFmtId="0" fontId="40" fillId="4" borderId="15" xfId="0" applyFont="1" applyFill="1" applyBorder="1" applyAlignment="1">
      <alignment vertical="center"/>
    </xf>
    <xf numFmtId="0" fontId="40" fillId="4" borderId="16" xfId="0" applyFont="1" applyFill="1" applyBorder="1" applyAlignment="1">
      <alignment vertical="center"/>
    </xf>
    <xf numFmtId="0" fontId="40" fillId="4" borderId="13" xfId="0" applyFont="1" applyFill="1" applyBorder="1" applyAlignment="1">
      <alignment vertical="center"/>
    </xf>
    <xf numFmtId="0" fontId="39" fillId="4" borderId="7" xfId="0" applyFont="1" applyFill="1" applyBorder="1" applyAlignment="1">
      <alignment horizontal="right" vertical="center" wrapText="1"/>
    </xf>
    <xf numFmtId="2" fontId="39" fillId="4" borderId="7" xfId="0" applyNumberFormat="1" applyFont="1" applyFill="1" applyBorder="1" applyAlignment="1">
      <alignment horizontal="right" vertical="center" wrapText="1"/>
    </xf>
    <xf numFmtId="0" fontId="40" fillId="4" borderId="7" xfId="0" applyFont="1" applyFill="1" applyBorder="1" applyAlignment="1">
      <alignment horizontal="right" vertical="center"/>
    </xf>
    <xf numFmtId="0" fontId="40" fillId="4" borderId="8" xfId="0" applyFont="1" applyFill="1" applyBorder="1" applyAlignment="1">
      <alignment horizontal="right" vertical="center"/>
    </xf>
    <xf numFmtId="4" fontId="42" fillId="3" borderId="14" xfId="0" applyNumberFormat="1" applyFont="1" applyFill="1" applyBorder="1" applyAlignment="1">
      <alignment horizontal="center" vertical="center" wrapText="1"/>
    </xf>
    <xf numFmtId="4" fontId="43" fillId="3" borderId="7" xfId="0" applyNumberFormat="1" applyFont="1" applyFill="1" applyBorder="1" applyAlignment="1">
      <alignment horizontal="center" vertical="center" wrapText="1" readingOrder="1"/>
    </xf>
    <xf numFmtId="4" fontId="44" fillId="3" borderId="14" xfId="0" applyNumberFormat="1" applyFont="1" applyFill="1" applyBorder="1" applyAlignment="1">
      <alignment horizontal="center" vertical="center" wrapText="1" readingOrder="1"/>
    </xf>
    <xf numFmtId="4" fontId="44" fillId="3" borderId="14" xfId="0" applyNumberFormat="1" applyFont="1" applyFill="1" applyBorder="1" applyAlignment="1">
      <alignment horizontal="center" vertical="center" wrapText="1"/>
    </xf>
    <xf numFmtId="4" fontId="44" fillId="3" borderId="7" xfId="0" applyNumberFormat="1" applyFont="1" applyFill="1" applyBorder="1" applyAlignment="1">
      <alignment horizontal="center" vertical="center" wrapText="1" readingOrder="1"/>
    </xf>
    <xf numFmtId="4" fontId="44" fillId="4" borderId="7" xfId="0" applyNumberFormat="1" applyFont="1" applyFill="1" applyBorder="1"/>
    <xf numFmtId="4" fontId="45" fillId="4" borderId="7" xfId="0" applyNumberFormat="1" applyFont="1" applyFill="1" applyBorder="1"/>
    <xf numFmtId="164" fontId="46" fillId="4" borderId="7" xfId="1" applyFont="1" applyFill="1" applyBorder="1" applyAlignment="1">
      <alignment vertical="top" wrapText="1"/>
    </xf>
    <xf numFmtId="0" fontId="9" fillId="4" borderId="7" xfId="0" applyFont="1" applyFill="1" applyBorder="1" applyAlignment="1">
      <alignment horizontal="center"/>
    </xf>
    <xf numFmtId="4" fontId="46" fillId="4" borderId="7" xfId="0" applyNumberFormat="1" applyFont="1" applyFill="1" applyBorder="1" applyAlignment="1">
      <alignment vertical="top" wrapText="1"/>
    </xf>
    <xf numFmtId="4" fontId="43" fillId="4" borderId="7" xfId="0" applyNumberFormat="1" applyFont="1" applyFill="1" applyBorder="1" applyAlignment="1">
      <alignment horizontal="center" vertical="top" wrapText="1" readingOrder="1"/>
    </xf>
    <xf numFmtId="4" fontId="44" fillId="4" borderId="7" xfId="0" applyNumberFormat="1" applyFont="1" applyFill="1" applyBorder="1" applyAlignment="1">
      <alignment vertical="top" wrapText="1"/>
    </xf>
    <xf numFmtId="4" fontId="44" fillId="4" borderId="7" xfId="0" applyNumberFormat="1" applyFont="1" applyFill="1" applyBorder="1" applyAlignment="1">
      <alignment horizontal="center" vertical="top" wrapText="1" readingOrder="1"/>
    </xf>
    <xf numFmtId="4" fontId="43" fillId="3" borderId="14" xfId="0" applyNumberFormat="1" applyFont="1" applyFill="1" applyBorder="1" applyAlignment="1">
      <alignment horizontal="center" vertical="center" wrapText="1" readingOrder="1"/>
    </xf>
    <xf numFmtId="4" fontId="43" fillId="4" borderId="7" xfId="0" applyNumberFormat="1" applyFont="1" applyFill="1" applyBorder="1" applyAlignment="1">
      <alignment horizontal="center" vertical="center" wrapText="1" readingOrder="1"/>
    </xf>
    <xf numFmtId="4" fontId="44" fillId="4" borderId="7" xfId="0" applyNumberFormat="1" applyFont="1" applyFill="1" applyBorder="1" applyAlignment="1">
      <alignment horizontal="center" vertical="center" wrapText="1" readingOrder="1"/>
    </xf>
    <xf numFmtId="0" fontId="6" fillId="3" borderId="7" xfId="0" applyFont="1" applyFill="1" applyBorder="1" applyAlignment="1">
      <alignment horizontal="center" vertical="center" wrapText="1" readingOrder="1"/>
    </xf>
    <xf numFmtId="0" fontId="28" fillId="3" borderId="16" xfId="0" applyFont="1" applyFill="1" applyBorder="1" applyAlignment="1">
      <alignment vertical="center" wrapText="1"/>
    </xf>
    <xf numFmtId="0" fontId="4" fillId="4" borderId="0" xfId="0" applyFont="1" applyFill="1" applyBorder="1" applyAlignment="1">
      <alignment horizontal="center" vertical="center" wrapText="1" readingOrder="1"/>
    </xf>
    <xf numFmtId="0" fontId="6" fillId="4" borderId="0" xfId="0" applyFont="1" applyFill="1" applyBorder="1"/>
    <xf numFmtId="0" fontId="5" fillId="4" borderId="7" xfId="0" applyFont="1" applyFill="1" applyBorder="1" applyAlignment="1">
      <alignment vertical="top" wrapText="1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0" fontId="40" fillId="4" borderId="7" xfId="0" applyFont="1" applyFill="1" applyBorder="1" applyAlignment="1">
      <alignment horizontal="left" vertical="center"/>
    </xf>
    <xf numFmtId="4" fontId="38" fillId="4" borderId="16" xfId="1" applyNumberFormat="1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vertical="top" wrapText="1"/>
    </xf>
    <xf numFmtId="0" fontId="5" fillId="4" borderId="15" xfId="0" applyFont="1" applyFill="1" applyBorder="1" applyAlignment="1">
      <alignment horizontal="left" vertical="top" wrapText="1"/>
    </xf>
    <xf numFmtId="0" fontId="5" fillId="4" borderId="16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left"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30" fillId="4" borderId="7" xfId="0" applyFont="1" applyFill="1" applyBorder="1" applyAlignment="1">
      <alignment vertical="top" wrapText="1"/>
    </xf>
    <xf numFmtId="0" fontId="38" fillId="4" borderId="15" xfId="0" applyFont="1" applyFill="1" applyBorder="1" applyAlignment="1">
      <alignment vertical="top" wrapText="1"/>
    </xf>
    <xf numFmtId="0" fontId="38" fillId="4" borderId="16" xfId="0" applyFont="1" applyFill="1" applyBorder="1" applyAlignment="1">
      <alignment vertical="top" wrapText="1"/>
    </xf>
    <xf numFmtId="0" fontId="38" fillId="4" borderId="13" xfId="0" applyFont="1" applyFill="1" applyBorder="1" applyAlignment="1">
      <alignment vertical="top" wrapText="1"/>
    </xf>
    <xf numFmtId="0" fontId="30" fillId="4" borderId="8" xfId="0" applyFont="1" applyFill="1" applyBorder="1" applyAlignment="1">
      <alignment horizontal="center" vertical="top" wrapText="1"/>
    </xf>
    <xf numFmtId="4" fontId="19" fillId="4" borderId="8" xfId="0" applyNumberFormat="1" applyFont="1" applyFill="1" applyBorder="1" applyAlignment="1">
      <alignment horizontal="center" vertical="top" wrapText="1" readingOrder="1"/>
    </xf>
    <xf numFmtId="0" fontId="47" fillId="4" borderId="0" xfId="0" applyFont="1" applyFill="1"/>
    <xf numFmtId="0" fontId="6" fillId="4" borderId="9" xfId="0" applyFont="1" applyFill="1" applyBorder="1" applyAlignment="1">
      <alignment vertical="top" wrapText="1" readingOrder="1"/>
    </xf>
    <xf numFmtId="0" fontId="6" fillId="4" borderId="8" xfId="0" applyFont="1" applyFill="1" applyBorder="1" applyAlignment="1">
      <alignment horizontal="center" vertical="top" wrapText="1" readingOrder="1"/>
    </xf>
    <xf numFmtId="0" fontId="22" fillId="4" borderId="0" xfId="0" applyFont="1" applyFill="1" applyAlignment="1">
      <alignment horizontal="left" vertical="center" wrapText="1"/>
    </xf>
    <xf numFmtId="0" fontId="6" fillId="4" borderId="22" xfId="0" applyFont="1" applyFill="1" applyBorder="1" applyAlignment="1">
      <alignment horizontal="center" vertical="top" wrapText="1" readingOrder="1"/>
    </xf>
    <xf numFmtId="0" fontId="6" fillId="4" borderId="15" xfId="0" applyFont="1" applyFill="1" applyBorder="1" applyAlignment="1">
      <alignment horizontal="left" vertical="top" wrapText="1" readingOrder="1"/>
    </xf>
    <xf numFmtId="0" fontId="6" fillId="4" borderId="13" xfId="0" applyFont="1" applyFill="1" applyBorder="1" applyAlignment="1">
      <alignment horizontal="left" vertical="top" wrapText="1" readingOrder="1"/>
    </xf>
    <xf numFmtId="0" fontId="28" fillId="4" borderId="7" xfId="0" applyFont="1" applyFill="1" applyBorder="1" applyAlignment="1">
      <alignment vertical="top" wrapText="1"/>
    </xf>
    <xf numFmtId="0" fontId="5" fillId="4" borderId="9" xfId="0" applyFont="1" applyFill="1" applyBorder="1" applyAlignment="1">
      <alignment horizontal="center" vertical="top" wrapText="1"/>
    </xf>
    <xf numFmtId="0" fontId="5" fillId="4" borderId="15" xfId="0" applyFont="1" applyFill="1" applyBorder="1" applyAlignment="1">
      <alignment vertical="top" wrapText="1"/>
    </xf>
    <xf numFmtId="0" fontId="5" fillId="4" borderId="13" xfId="0" applyFont="1" applyFill="1" applyBorder="1" applyAlignment="1">
      <alignment vertical="top" wrapText="1"/>
    </xf>
    <xf numFmtId="0" fontId="5" fillId="4" borderId="7" xfId="0" applyFont="1" applyFill="1" applyBorder="1" applyAlignment="1">
      <alignment vertical="top" wrapText="1"/>
    </xf>
    <xf numFmtId="0" fontId="5" fillId="4" borderId="8" xfId="0" applyFont="1" applyFill="1" applyBorder="1" applyAlignment="1">
      <alignment vertical="top" wrapText="1"/>
    </xf>
    <xf numFmtId="4" fontId="8" fillId="3" borderId="8" xfId="0" applyNumberFormat="1" applyFont="1" applyFill="1" applyBorder="1" applyAlignment="1">
      <alignment horizontal="center" vertical="center" wrapText="1" readingOrder="1"/>
    </xf>
    <xf numFmtId="0" fontId="8" fillId="4" borderId="15" xfId="0" applyFont="1" applyFill="1" applyBorder="1" applyAlignment="1">
      <alignment horizontal="center" vertical="center" wrapText="1" readingOrder="1"/>
    </xf>
    <xf numFmtId="0" fontId="8" fillId="4" borderId="13" xfId="0" applyFont="1" applyFill="1" applyBorder="1" applyAlignment="1">
      <alignment horizontal="center" vertical="center" wrapText="1" readingOrder="1"/>
    </xf>
    <xf numFmtId="0" fontId="22" fillId="4" borderId="7" xfId="0" applyFont="1" applyFill="1" applyBorder="1" applyAlignment="1">
      <alignment horizontal="center" vertical="top" wrapText="1" readingOrder="1"/>
    </xf>
    <xf numFmtId="0" fontId="8" fillId="4" borderId="10" xfId="0" applyFont="1" applyFill="1" applyBorder="1" applyAlignment="1">
      <alignment horizontal="left"/>
    </xf>
    <xf numFmtId="0" fontId="8" fillId="4" borderId="0" xfId="0" applyFont="1" applyFill="1" applyAlignment="1">
      <alignment horizontal="left" vertical="center" readingOrder="1"/>
    </xf>
    <xf numFmtId="0" fontId="22" fillId="4" borderId="13" xfId="0" applyFont="1" applyFill="1" applyBorder="1" applyAlignment="1">
      <alignment horizontal="left" vertical="center" wrapText="1" readingOrder="1"/>
    </xf>
    <xf numFmtId="0" fontId="8" fillId="4" borderId="7" xfId="0" applyFont="1" applyFill="1" applyBorder="1" applyAlignment="1">
      <alignment horizontal="center" vertical="center" wrapText="1" readingOrder="1"/>
    </xf>
    <xf numFmtId="0" fontId="8" fillId="4" borderId="8" xfId="0" applyFont="1" applyFill="1" applyBorder="1" applyAlignment="1">
      <alignment horizontal="center" vertical="center" wrapText="1" readingOrder="1"/>
    </xf>
    <xf numFmtId="0" fontId="8" fillId="4" borderId="7" xfId="0" applyFont="1" applyFill="1" applyBorder="1" applyAlignment="1">
      <alignment horizontal="left" vertical="top" wrapText="1" readingOrder="1"/>
    </xf>
    <xf numFmtId="4" fontId="8" fillId="4" borderId="7" xfId="0" applyNumberFormat="1" applyFont="1" applyFill="1" applyBorder="1" applyAlignment="1">
      <alignment horizontal="center" vertical="center" wrapText="1" readingOrder="1"/>
    </xf>
    <xf numFmtId="0" fontId="28" fillId="4" borderId="10" xfId="0" applyFont="1" applyFill="1" applyBorder="1" applyAlignment="1">
      <alignment horizontal="center" vertical="top" wrapText="1"/>
    </xf>
    <xf numFmtId="0" fontId="22" fillId="4" borderId="7" xfId="0" applyFont="1" applyFill="1" applyBorder="1" applyAlignment="1">
      <alignment horizontal="right" vertical="center" wrapText="1" readingOrder="1"/>
    </xf>
    <xf numFmtId="0" fontId="8" fillId="4" borderId="13" xfId="0" applyFont="1" applyFill="1" applyBorder="1" applyAlignment="1">
      <alignment horizontal="left"/>
    </xf>
    <xf numFmtId="0" fontId="8" fillId="4" borderId="7" xfId="0" applyFont="1" applyFill="1" applyBorder="1" applyAlignment="1">
      <alignment horizontal="center" vertical="top" wrapText="1" readingOrder="1"/>
    </xf>
    <xf numFmtId="0" fontId="28" fillId="4" borderId="0" xfId="0" applyFont="1" applyFill="1" applyBorder="1" applyAlignment="1">
      <alignment horizontal="center" vertical="top" wrapText="1"/>
    </xf>
    <xf numFmtId="0" fontId="5" fillId="4" borderId="22" xfId="0" applyFont="1" applyFill="1" applyBorder="1" applyAlignment="1">
      <alignment vertical="top" wrapText="1"/>
    </xf>
    <xf numFmtId="0" fontId="5" fillId="4" borderId="18" xfId="0" applyFont="1" applyFill="1" applyBorder="1" applyAlignment="1">
      <alignment vertical="top" wrapText="1"/>
    </xf>
    <xf numFmtId="0" fontId="5" fillId="4" borderId="17" xfId="0" applyFont="1" applyFill="1" applyBorder="1" applyAlignment="1">
      <alignment vertical="top" wrapText="1"/>
    </xf>
    <xf numFmtId="0" fontId="19" fillId="4" borderId="7" xfId="0" applyFont="1" applyFill="1" applyBorder="1" applyAlignment="1">
      <alignment horizontal="center" vertical="top" wrapText="1" readingOrder="1"/>
    </xf>
    <xf numFmtId="0" fontId="8" fillId="4" borderId="0" xfId="0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left" vertical="top" wrapText="1"/>
    </xf>
    <xf numFmtId="0" fontId="5" fillId="3" borderId="7" xfId="0" applyFont="1" applyFill="1" applyBorder="1" applyAlignment="1">
      <alignment vertical="top" wrapText="1"/>
    </xf>
    <xf numFmtId="0" fontId="30" fillId="4" borderId="7" xfId="0" applyFont="1" applyFill="1" applyBorder="1" applyAlignment="1">
      <alignment vertical="top" wrapText="1"/>
    </xf>
    <xf numFmtId="0" fontId="5" fillId="3" borderId="16" xfId="0" applyFont="1" applyFill="1" applyBorder="1" applyAlignment="1">
      <alignment vertical="top" wrapText="1"/>
    </xf>
    <xf numFmtId="0" fontId="6" fillId="4" borderId="7" xfId="0" applyFont="1" applyFill="1" applyBorder="1" applyAlignment="1">
      <alignment horizontal="center" vertical="center" wrapText="1" readingOrder="1"/>
    </xf>
    <xf numFmtId="0" fontId="6" fillId="4" borderId="13" xfId="0" applyFont="1" applyFill="1" applyBorder="1" applyAlignment="1">
      <alignment horizontal="center" vertical="center" wrapText="1" readingOrder="1"/>
    </xf>
    <xf numFmtId="0" fontId="6" fillId="4" borderId="15" xfId="0" applyFont="1" applyFill="1" applyBorder="1" applyAlignment="1">
      <alignment horizontal="left"/>
    </xf>
    <xf numFmtId="0" fontId="6" fillId="4" borderId="13" xfId="0" applyFont="1" applyFill="1" applyBorder="1" applyAlignment="1">
      <alignment horizontal="left"/>
    </xf>
    <xf numFmtId="0" fontId="5" fillId="4" borderId="9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center" vertical="center" wrapText="1" readingOrder="1"/>
    </xf>
    <xf numFmtId="0" fontId="6" fillId="4" borderId="13" xfId="0" applyFont="1" applyFill="1" applyBorder="1" applyAlignment="1">
      <alignment horizontal="center" vertical="top" wrapText="1" readingOrder="1"/>
    </xf>
    <xf numFmtId="0" fontId="21" fillId="4" borderId="0" xfId="0" applyFont="1" applyFill="1" applyAlignment="1">
      <alignment horizontal="center" vertical="center" wrapText="1"/>
    </xf>
    <xf numFmtId="0" fontId="6" fillId="4" borderId="10" xfId="0" applyFont="1" applyFill="1" applyBorder="1" applyAlignment="1">
      <alignment horizontal="left"/>
    </xf>
    <xf numFmtId="0" fontId="6" fillId="4" borderId="0" xfId="0" applyFont="1" applyFill="1" applyAlignment="1">
      <alignment horizontal="left" vertical="center" readingOrder="1"/>
    </xf>
    <xf numFmtId="0" fontId="6" fillId="4" borderId="7" xfId="0" applyFont="1" applyFill="1" applyBorder="1" applyAlignment="1">
      <alignment horizontal="center" vertical="top" wrapText="1" readingOrder="1"/>
    </xf>
    <xf numFmtId="0" fontId="4" fillId="4" borderId="13" xfId="0" applyFont="1" applyFill="1" applyBorder="1" applyAlignment="1">
      <alignment horizontal="left" vertical="center" wrapText="1" readingOrder="1"/>
    </xf>
    <xf numFmtId="0" fontId="8" fillId="4" borderId="7" xfId="0" applyFont="1" applyFill="1" applyBorder="1" applyAlignment="1">
      <alignment horizontal="center" vertical="top" wrapText="1"/>
    </xf>
    <xf numFmtId="4" fontId="6" fillId="4" borderId="7" xfId="0" applyNumberFormat="1" applyFont="1" applyFill="1" applyBorder="1" applyAlignment="1">
      <alignment horizontal="center" vertical="center" wrapText="1" readingOrder="1"/>
    </xf>
    <xf numFmtId="0" fontId="4" fillId="4" borderId="13" xfId="0" applyFont="1" applyFill="1" applyBorder="1" applyAlignment="1">
      <alignment horizontal="right" vertical="center" wrapText="1" readingOrder="1"/>
    </xf>
    <xf numFmtId="0" fontId="12" fillId="4" borderId="0" xfId="0" applyFont="1" applyFill="1" applyAlignment="1">
      <alignment horizontal="center" vertical="top" wrapText="1"/>
    </xf>
    <xf numFmtId="1" fontId="6" fillId="4" borderId="7" xfId="0" applyNumberFormat="1" applyFont="1" applyFill="1" applyBorder="1" applyAlignment="1">
      <alignment horizontal="center" vertical="center" wrapText="1" readingOrder="1"/>
    </xf>
    <xf numFmtId="0" fontId="8" fillId="4" borderId="7" xfId="0" applyFont="1" applyFill="1" applyBorder="1" applyAlignment="1">
      <alignment horizontal="center"/>
    </xf>
    <xf numFmtId="0" fontId="19" fillId="4" borderId="7" xfId="0" applyFont="1" applyFill="1" applyBorder="1" applyAlignment="1">
      <alignment horizontal="center" vertical="top" wrapText="1" readingOrder="1"/>
    </xf>
    <xf numFmtId="0" fontId="8" fillId="4" borderId="7" xfId="0" applyFont="1" applyFill="1" applyBorder="1" applyAlignment="1">
      <alignment horizontal="center" vertical="center" wrapText="1" readingOrder="1"/>
    </xf>
    <xf numFmtId="0" fontId="8" fillId="4" borderId="15" xfId="0" applyFont="1" applyFill="1" applyBorder="1" applyAlignment="1">
      <alignment horizontal="center" vertical="center" wrapText="1" readingOrder="1"/>
    </xf>
    <xf numFmtId="4" fontId="8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vertical="top" wrapText="1"/>
    </xf>
    <xf numFmtId="0" fontId="8" fillId="4" borderId="8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/>
    </xf>
    <xf numFmtId="0" fontId="30" fillId="4" borderId="7" xfId="0" applyFont="1" applyFill="1" applyBorder="1" applyAlignment="1">
      <alignment vertical="top" wrapText="1"/>
    </xf>
    <xf numFmtId="0" fontId="6" fillId="4" borderId="7" xfId="0" applyFont="1" applyFill="1" applyBorder="1" applyAlignment="1">
      <alignment horizontal="center" vertical="center" wrapText="1" readingOrder="1"/>
    </xf>
    <xf numFmtId="4" fontId="6" fillId="4" borderId="7" xfId="0" applyNumberFormat="1" applyFont="1" applyFill="1" applyBorder="1" applyAlignment="1">
      <alignment horizontal="center" vertical="center" wrapText="1" readingOrder="1"/>
    </xf>
    <xf numFmtId="0" fontId="5" fillId="3" borderId="25" xfId="0" applyFont="1" applyFill="1" applyBorder="1" applyAlignment="1">
      <alignment vertical="center"/>
    </xf>
    <xf numFmtId="0" fontId="28" fillId="3" borderId="25" xfId="0" applyFont="1" applyFill="1" applyBorder="1" applyAlignment="1">
      <alignment vertical="center" wrapText="1"/>
    </xf>
    <xf numFmtId="0" fontId="28" fillId="3" borderId="17" xfId="0" applyFont="1" applyFill="1" applyBorder="1" applyAlignment="1">
      <alignment vertical="center" wrapText="1"/>
    </xf>
    <xf numFmtId="0" fontId="28" fillId="3" borderId="14" xfId="0" applyFont="1" applyFill="1" applyBorder="1" applyAlignment="1">
      <alignment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4" borderId="17" xfId="3" applyFont="1" applyFill="1" applyBorder="1" applyAlignment="1">
      <alignment vertical="center"/>
    </xf>
    <xf numFmtId="0" fontId="22" fillId="4" borderId="14" xfId="0" applyFont="1" applyFill="1" applyBorder="1" applyAlignment="1">
      <alignment vertical="center" wrapText="1" readingOrder="1"/>
    </xf>
    <xf numFmtId="0" fontId="28" fillId="4" borderId="7" xfId="0" applyFont="1" applyFill="1" applyBorder="1" applyAlignment="1">
      <alignment horizontal="center" vertical="top" wrapText="1"/>
    </xf>
    <xf numFmtId="0" fontId="5" fillId="4" borderId="7" xfId="2" applyFont="1" applyFill="1" applyBorder="1" applyAlignment="1">
      <alignment horizontal="center" vertical="center" wrapText="1"/>
    </xf>
    <xf numFmtId="4" fontId="5" fillId="4" borderId="7" xfId="0" applyNumberFormat="1" applyFont="1" applyFill="1" applyBorder="1" applyAlignment="1">
      <alignment horizontal="center" vertical="top" wrapText="1"/>
    </xf>
    <xf numFmtId="4" fontId="5" fillId="4" borderId="9" xfId="0" applyNumberFormat="1" applyFont="1" applyFill="1" applyBorder="1" applyAlignment="1">
      <alignment vertical="top" wrapText="1"/>
    </xf>
    <xf numFmtId="0" fontId="8" fillId="4" borderId="15" xfId="0" applyFont="1" applyFill="1" applyBorder="1" applyAlignment="1">
      <alignment vertical="top" wrapText="1" readingOrder="1"/>
    </xf>
    <xf numFmtId="0" fontId="8" fillId="4" borderId="15" xfId="0" applyFont="1" applyFill="1" applyBorder="1" applyAlignment="1">
      <alignment vertical="top" wrapText="1"/>
    </xf>
    <xf numFmtId="0" fontId="8" fillId="4" borderId="7" xfId="0" applyFont="1" applyFill="1" applyBorder="1" applyAlignment="1">
      <alignment vertical="top" wrapText="1" readingOrder="1"/>
    </xf>
    <xf numFmtId="165" fontId="4" fillId="4" borderId="7" xfId="0" applyNumberFormat="1" applyFont="1" applyFill="1" applyBorder="1" applyAlignment="1">
      <alignment horizontal="center"/>
    </xf>
    <xf numFmtId="0" fontId="6" fillId="4" borderId="24" xfId="0" applyFont="1" applyFill="1" applyBorder="1" applyAlignment="1">
      <alignment horizontal="center" vertical="top" wrapText="1" readingOrder="1"/>
    </xf>
    <xf numFmtId="0" fontId="6" fillId="4" borderId="24" xfId="0" applyFont="1" applyFill="1" applyBorder="1" applyAlignment="1">
      <alignment vertical="top" wrapText="1" readingOrder="1"/>
    </xf>
    <xf numFmtId="0" fontId="8" fillId="4" borderId="7" xfId="0" applyFont="1" applyFill="1" applyBorder="1" applyAlignment="1">
      <alignment vertical="top" wrapText="1"/>
    </xf>
    <xf numFmtId="0" fontId="6" fillId="4" borderId="10" xfId="0" applyFont="1" applyFill="1" applyBorder="1" applyAlignment="1">
      <alignment horizontal="center" vertical="top" wrapText="1" readingOrder="1"/>
    </xf>
    <xf numFmtId="0" fontId="6" fillId="4" borderId="0" xfId="0" applyFont="1" applyFill="1" applyBorder="1" applyAlignment="1">
      <alignment horizontal="center" vertical="top" wrapText="1" readingOrder="1"/>
    </xf>
    <xf numFmtId="165" fontId="4" fillId="4" borderId="0" xfId="0" applyNumberFormat="1" applyFont="1" applyFill="1" applyBorder="1" applyAlignment="1">
      <alignment horizontal="center"/>
    </xf>
    <xf numFmtId="0" fontId="22" fillId="4" borderId="9" xfId="0" applyFont="1" applyFill="1" applyBorder="1" applyAlignment="1">
      <alignment vertical="center" wrapText="1" readingOrder="1"/>
    </xf>
    <xf numFmtId="4" fontId="19" fillId="4" borderId="7" xfId="0" applyNumberFormat="1" applyFont="1" applyFill="1" applyBorder="1" applyAlignment="1">
      <alignment horizontal="center" vertical="top"/>
    </xf>
    <xf numFmtId="4" fontId="44" fillId="4" borderId="9" xfId="0" applyNumberFormat="1" applyFont="1" applyFill="1" applyBorder="1" applyAlignment="1">
      <alignment horizontal="center" vertical="top" wrapText="1" readingOrder="1"/>
    </xf>
    <xf numFmtId="0" fontId="28" fillId="4" borderId="18" xfId="0" applyFont="1" applyFill="1" applyBorder="1" applyAlignment="1">
      <alignment horizontal="center" vertical="top" wrapText="1"/>
    </xf>
    <xf numFmtId="0" fontId="28" fillId="4" borderId="18" xfId="0" applyFont="1" applyFill="1" applyBorder="1" applyAlignment="1">
      <alignment vertical="top" wrapText="1"/>
    </xf>
    <xf numFmtId="164" fontId="28" fillId="4" borderId="18" xfId="1" applyFont="1" applyFill="1" applyBorder="1" applyAlignment="1">
      <alignment vertical="top" wrapText="1"/>
    </xf>
    <xf numFmtId="2" fontId="19" fillId="4" borderId="7" xfId="0" applyNumberFormat="1" applyFont="1" applyFill="1" applyBorder="1" applyAlignment="1">
      <alignment horizontal="center" vertical="top"/>
    </xf>
    <xf numFmtId="0" fontId="19" fillId="4" borderId="7" xfId="0" applyFont="1" applyFill="1" applyBorder="1" applyAlignment="1">
      <alignment horizontal="center" vertical="top"/>
    </xf>
    <xf numFmtId="4" fontId="19" fillId="4" borderId="7" xfId="1" applyNumberFormat="1" applyFont="1" applyFill="1" applyBorder="1" applyAlignment="1">
      <alignment horizontal="center" vertical="top"/>
    </xf>
    <xf numFmtId="2" fontId="19" fillId="4" borderId="7" xfId="0" applyNumberFormat="1" applyFont="1" applyFill="1" applyBorder="1" applyAlignment="1">
      <alignment horizontal="center" vertical="top" wrapText="1"/>
    </xf>
    <xf numFmtId="0" fontId="6" fillId="4" borderId="7" xfId="0" applyFont="1" applyFill="1" applyBorder="1" applyAlignment="1">
      <alignment horizontal="center" vertical="center"/>
    </xf>
    <xf numFmtId="4" fontId="6" fillId="4" borderId="7" xfId="0" applyNumberFormat="1" applyFont="1" applyFill="1" applyBorder="1" applyAlignment="1">
      <alignment horizontal="center" vertical="center" wrapText="1"/>
    </xf>
    <xf numFmtId="0" fontId="19" fillId="4" borderId="7" xfId="0" applyFont="1" applyFill="1" applyBorder="1" applyAlignment="1">
      <alignment horizontal="center" vertical="center"/>
    </xf>
    <xf numFmtId="4" fontId="6" fillId="4" borderId="7" xfId="0" applyNumberFormat="1" applyFont="1" applyFill="1" applyBorder="1" applyAlignment="1">
      <alignment horizontal="center" vertical="top" wrapText="1"/>
    </xf>
    <xf numFmtId="0" fontId="11" fillId="4" borderId="15" xfId="0" applyFont="1" applyFill="1" applyBorder="1" applyAlignment="1">
      <alignment horizontal="left" vertical="top" wrapText="1"/>
    </xf>
    <xf numFmtId="0" fontId="11" fillId="3" borderId="15" xfId="0" applyFont="1" applyFill="1" applyBorder="1" applyAlignment="1">
      <alignment horizontal="left" vertical="top" wrapText="1"/>
    </xf>
    <xf numFmtId="0" fontId="11" fillId="4" borderId="7" xfId="0" applyFont="1" applyFill="1" applyBorder="1" applyAlignment="1">
      <alignment horizontal="center" vertical="top" wrapText="1"/>
    </xf>
    <xf numFmtId="1" fontId="11" fillId="4" borderId="7" xfId="0" applyNumberFormat="1" applyFont="1" applyFill="1" applyBorder="1" applyAlignment="1">
      <alignment horizontal="center" vertical="top" wrapText="1"/>
    </xf>
    <xf numFmtId="4" fontId="11" fillId="4" borderId="7" xfId="0" applyNumberFormat="1" applyFont="1" applyFill="1" applyBorder="1" applyAlignment="1">
      <alignment vertical="top" wrapText="1"/>
    </xf>
    <xf numFmtId="2" fontId="11" fillId="4" borderId="7" xfId="0" applyNumberFormat="1" applyFont="1" applyFill="1" applyBorder="1" applyAlignment="1">
      <alignment vertical="top" wrapText="1"/>
    </xf>
    <xf numFmtId="0" fontId="8" fillId="3" borderId="15" xfId="0" applyFont="1" applyFill="1" applyBorder="1" applyAlignment="1">
      <alignment vertical="top"/>
    </xf>
    <xf numFmtId="0" fontId="8" fillId="3" borderId="16" xfId="0" applyFont="1" applyFill="1" applyBorder="1" applyAlignment="1">
      <alignment vertical="top"/>
    </xf>
    <xf numFmtId="0" fontId="8" fillId="3" borderId="13" xfId="0" applyFont="1" applyFill="1" applyBorder="1" applyAlignment="1">
      <alignment vertical="top"/>
    </xf>
    <xf numFmtId="4" fontId="31" fillId="4" borderId="13" xfId="0" applyNumberFormat="1" applyFont="1" applyFill="1" applyBorder="1" applyAlignment="1">
      <alignment horizontal="center" wrapText="1"/>
    </xf>
    <xf numFmtId="4" fontId="8" fillId="7" borderId="7" xfId="0" applyNumberFormat="1" applyFont="1" applyFill="1" applyBorder="1" applyAlignment="1">
      <alignment vertical="center" wrapText="1" readingOrder="1"/>
    </xf>
    <xf numFmtId="4" fontId="8" fillId="7" borderId="3" xfId="0" applyNumberFormat="1" applyFont="1" applyFill="1" applyBorder="1" applyAlignment="1">
      <alignment horizontal="center" vertical="center" wrapText="1" readingOrder="1"/>
    </xf>
    <xf numFmtId="4" fontId="8" fillId="7" borderId="1" xfId="0" applyNumberFormat="1" applyFont="1" applyFill="1" applyBorder="1" applyAlignment="1">
      <alignment horizontal="center" vertical="center" wrapText="1" readingOrder="1"/>
    </xf>
    <xf numFmtId="4" fontId="6" fillId="4" borderId="7" xfId="0" applyNumberFormat="1" applyFont="1" applyFill="1" applyBorder="1" applyAlignment="1">
      <alignment vertical="center" wrapText="1"/>
    </xf>
    <xf numFmtId="0" fontId="6" fillId="4" borderId="7" xfId="0" applyFont="1" applyFill="1" applyBorder="1" applyAlignment="1">
      <alignment horizontal="left" vertical="center" wrapText="1"/>
    </xf>
    <xf numFmtId="0" fontId="23" fillId="4" borderId="17" xfId="0" applyFont="1" applyFill="1" applyBorder="1" applyAlignment="1">
      <alignment vertical="center" wrapText="1"/>
    </xf>
    <xf numFmtId="0" fontId="23" fillId="4" borderId="9" xfId="0" applyFont="1" applyFill="1" applyBorder="1" applyAlignment="1">
      <alignment vertical="center" wrapText="1"/>
    </xf>
    <xf numFmtId="4" fontId="30" fillId="4" borderId="9" xfId="0" applyNumberFormat="1" applyFont="1" applyFill="1" applyBorder="1" applyAlignment="1">
      <alignment horizontal="right" vertical="center" wrapText="1"/>
    </xf>
    <xf numFmtId="0" fontId="48" fillId="4" borderId="0" xfId="0" applyFont="1" applyFill="1"/>
    <xf numFmtId="4" fontId="21" fillId="4" borderId="7" xfId="0" applyNumberFormat="1" applyFont="1" applyFill="1" applyBorder="1"/>
    <xf numFmtId="4" fontId="19" fillId="4" borderId="26" xfId="0" applyNumberFormat="1" applyFont="1" applyFill="1" applyBorder="1" applyAlignment="1">
      <alignment horizontal="left" vertical="top"/>
    </xf>
    <xf numFmtId="4" fontId="19" fillId="4" borderId="7" xfId="0" applyNumberFormat="1" applyFont="1" applyFill="1" applyBorder="1" applyAlignment="1">
      <alignment horizontal="left" vertical="top"/>
    </xf>
    <xf numFmtId="4" fontId="19" fillId="4" borderId="27" xfId="0" applyNumberFormat="1" applyFont="1" applyFill="1" applyBorder="1" applyAlignment="1">
      <alignment horizontal="left" vertical="top"/>
    </xf>
    <xf numFmtId="0" fontId="6" fillId="4" borderId="8" xfId="0" applyFont="1" applyFill="1" applyBorder="1" applyAlignment="1">
      <alignment horizontal="center" vertical="center"/>
    </xf>
    <xf numFmtId="4" fontId="6" fillId="4" borderId="8" xfId="0" applyNumberFormat="1" applyFont="1" applyFill="1" applyBorder="1" applyAlignment="1">
      <alignment horizontal="center" vertical="center"/>
    </xf>
    <xf numFmtId="4" fontId="6" fillId="8" borderId="7" xfId="0" applyNumberFormat="1" applyFont="1" applyFill="1" applyBorder="1" applyAlignment="1">
      <alignment horizontal="center" vertical="center" wrapText="1" readingOrder="1"/>
    </xf>
    <xf numFmtId="0" fontId="6" fillId="4" borderId="31" xfId="0" applyFont="1" applyFill="1" applyBorder="1" applyAlignment="1">
      <alignment horizontal="left" vertical="center" wrapText="1"/>
    </xf>
    <xf numFmtId="0" fontId="11" fillId="3" borderId="7" xfId="0" applyFont="1" applyFill="1" applyBorder="1" applyAlignment="1">
      <alignment horizontal="left" vertical="top" wrapText="1"/>
    </xf>
    <xf numFmtId="4" fontId="11" fillId="4" borderId="7" xfId="0" applyNumberFormat="1" applyFont="1" applyFill="1" applyBorder="1" applyAlignment="1">
      <alignment horizontal="center" vertical="top" wrapText="1"/>
    </xf>
    <xf numFmtId="0" fontId="11" fillId="4" borderId="7" xfId="0" applyFont="1" applyFill="1" applyBorder="1" applyAlignment="1">
      <alignment horizontal="center" vertical="center" wrapText="1" readingOrder="1"/>
    </xf>
    <xf numFmtId="0" fontId="20" fillId="4" borderId="7" xfId="0" applyFont="1" applyFill="1" applyBorder="1" applyAlignment="1">
      <alignment horizontal="left" vertical="top" wrapText="1" readingOrder="1"/>
    </xf>
    <xf numFmtId="0" fontId="5" fillId="4" borderId="7" xfId="0" applyFont="1" applyFill="1" applyBorder="1" applyAlignment="1">
      <alignment horizontal="left"/>
    </xf>
    <xf numFmtId="4" fontId="5" fillId="4" borderId="7" xfId="0" applyNumberFormat="1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 vertical="top" wrapText="1" readingOrder="1"/>
    </xf>
    <xf numFmtId="0" fontId="8" fillId="4" borderId="8" xfId="0" applyFont="1" applyFill="1" applyBorder="1" applyAlignment="1">
      <alignment horizontal="left" vertical="center" wrapText="1" readingOrder="1"/>
    </xf>
    <xf numFmtId="0" fontId="19" fillId="4" borderId="15" xfId="0" applyFont="1" applyFill="1" applyBorder="1" applyAlignment="1">
      <alignment horizontal="center" vertical="top" wrapText="1" readingOrder="1"/>
    </xf>
    <xf numFmtId="0" fontId="4" fillId="4" borderId="0" xfId="0" applyNumberFormat="1" applyFont="1" applyFill="1" applyBorder="1" applyAlignment="1">
      <alignment vertical="top" wrapText="1"/>
    </xf>
    <xf numFmtId="0" fontId="8" fillId="4" borderId="7" xfId="0" applyFont="1" applyFill="1" applyBorder="1" applyAlignment="1">
      <alignment horizontal="center" vertical="center" wrapText="1" readingOrder="1"/>
    </xf>
    <xf numFmtId="4" fontId="8" fillId="4" borderId="7" xfId="0" applyNumberFormat="1" applyFont="1" applyFill="1" applyBorder="1" applyAlignment="1">
      <alignment horizontal="center" vertical="center" wrapText="1" readingOrder="1"/>
    </xf>
    <xf numFmtId="0" fontId="8" fillId="4" borderId="9" xfId="0" applyFont="1" applyFill="1" applyBorder="1" applyAlignment="1">
      <alignment horizontal="center" vertical="center" wrapText="1" readingOrder="1"/>
    </xf>
    <xf numFmtId="0" fontId="6" fillId="4" borderId="7" xfId="0" applyFont="1" applyFill="1" applyBorder="1" applyAlignment="1">
      <alignment horizontal="center" vertical="center" wrapText="1" readingOrder="1"/>
    </xf>
    <xf numFmtId="0" fontId="6" fillId="4" borderId="9" xfId="0" applyFont="1" applyFill="1" applyBorder="1" applyAlignment="1">
      <alignment horizontal="center" vertical="center" wrapText="1" readingOrder="1"/>
    </xf>
    <xf numFmtId="4" fontId="6" fillId="3" borderId="8" xfId="0" applyNumberFormat="1" applyFont="1" applyFill="1" applyBorder="1" applyAlignment="1">
      <alignment horizontal="center" vertical="center" wrapText="1" readingOrder="1"/>
    </xf>
    <xf numFmtId="4" fontId="6" fillId="3" borderId="9" xfId="0" applyNumberFormat="1" applyFont="1" applyFill="1" applyBorder="1" applyAlignment="1">
      <alignment horizontal="center" vertical="center" wrapText="1" readingOrder="1"/>
    </xf>
    <xf numFmtId="4" fontId="6" fillId="4" borderId="7" xfId="0" applyNumberFormat="1" applyFont="1" applyFill="1" applyBorder="1" applyAlignment="1">
      <alignment horizontal="center" vertical="center" wrapText="1" readingOrder="1"/>
    </xf>
    <xf numFmtId="0" fontId="6" fillId="4" borderId="28" xfId="0" applyFont="1" applyFill="1" applyBorder="1" applyAlignment="1">
      <alignment vertical="center" wrapText="1"/>
    </xf>
    <xf numFmtId="0" fontId="6" fillId="4" borderId="29" xfId="0" applyFont="1" applyFill="1" applyBorder="1" applyAlignment="1">
      <alignment vertical="center" wrapText="1"/>
    </xf>
    <xf numFmtId="0" fontId="6" fillId="4" borderId="30" xfId="0" applyFont="1" applyFill="1" applyBorder="1" applyAlignment="1">
      <alignment vertical="center" wrapText="1"/>
    </xf>
    <xf numFmtId="0" fontId="19" fillId="4" borderId="26" xfId="0" applyFont="1" applyFill="1" applyBorder="1" applyAlignment="1">
      <alignment horizontal="left" vertical="top"/>
    </xf>
    <xf numFmtId="0" fontId="19" fillId="4" borderId="7" xfId="0" applyFont="1" applyFill="1" applyBorder="1" applyAlignment="1">
      <alignment horizontal="left" vertical="top"/>
    </xf>
    <xf numFmtId="0" fontId="19" fillId="4" borderId="27" xfId="0" applyFont="1" applyFill="1" applyBorder="1" applyAlignment="1">
      <alignment horizontal="left" vertical="top"/>
    </xf>
    <xf numFmtId="0" fontId="8" fillId="4" borderId="7" xfId="0" applyFont="1" applyFill="1" applyBorder="1" applyAlignment="1">
      <alignment horizontal="center" vertical="top" wrapText="1" readingOrder="1"/>
    </xf>
    <xf numFmtId="0" fontId="5" fillId="4" borderId="7" xfId="0" applyFont="1" applyFill="1" applyBorder="1" applyAlignment="1">
      <alignment vertical="top" wrapText="1"/>
    </xf>
    <xf numFmtId="0" fontId="6" fillId="4" borderId="7" xfId="0" applyFont="1" applyFill="1" applyBorder="1" applyAlignment="1">
      <alignment horizontal="center" vertical="top" wrapText="1" readingOrder="1"/>
    </xf>
    <xf numFmtId="2" fontId="19" fillId="4" borderId="9" xfId="0" applyNumberFormat="1" applyFont="1" applyFill="1" applyBorder="1" applyAlignment="1">
      <alignment horizontal="center" vertical="top" wrapText="1"/>
    </xf>
    <xf numFmtId="4" fontId="19" fillId="4" borderId="9" xfId="0" applyNumberFormat="1" applyFont="1" applyFill="1" applyBorder="1" applyAlignment="1">
      <alignment horizontal="center" vertical="top"/>
    </xf>
    <xf numFmtId="0" fontId="6" fillId="4" borderId="34" xfId="0" applyFont="1" applyFill="1" applyBorder="1" applyAlignment="1">
      <alignment horizontal="center" vertical="center" wrapText="1" readingOrder="1"/>
    </xf>
    <xf numFmtId="0" fontId="6" fillId="4" borderId="35" xfId="0" applyFont="1" applyFill="1" applyBorder="1" applyAlignment="1">
      <alignment horizontal="center" vertical="center" wrapText="1" readingOrder="1"/>
    </xf>
    <xf numFmtId="4" fontId="6" fillId="3" borderId="36" xfId="0" applyNumberFormat="1" applyFont="1" applyFill="1" applyBorder="1" applyAlignment="1">
      <alignment horizontal="center" vertical="center" wrapText="1" readingOrder="1"/>
    </xf>
    <xf numFmtId="0" fontId="6" fillId="4" borderId="26" xfId="0" applyFont="1" applyFill="1" applyBorder="1" applyAlignment="1">
      <alignment horizontal="center" vertical="center" wrapText="1" readingOrder="1"/>
    </xf>
    <xf numFmtId="0" fontId="6" fillId="4" borderId="27" xfId="0" applyFont="1" applyFill="1" applyBorder="1" applyAlignment="1">
      <alignment horizontal="center" vertical="center" wrapText="1" readingOrder="1"/>
    </xf>
    <xf numFmtId="0" fontId="6" fillId="4" borderId="9" xfId="0" applyFont="1" applyFill="1" applyBorder="1" applyAlignment="1">
      <alignment horizontal="left" vertical="center" wrapText="1"/>
    </xf>
    <xf numFmtId="4" fontId="44" fillId="4" borderId="33" xfId="0" applyNumberFormat="1" applyFont="1" applyFill="1" applyBorder="1"/>
    <xf numFmtId="0" fontId="6" fillId="4" borderId="26" xfId="0" applyFont="1" applyFill="1" applyBorder="1" applyAlignment="1">
      <alignment horizontal="center" vertical="center" wrapText="1"/>
    </xf>
    <xf numFmtId="4" fontId="6" fillId="4" borderId="26" xfId="0" applyNumberFormat="1" applyFont="1" applyFill="1" applyBorder="1" applyAlignment="1">
      <alignment horizontal="center" vertical="center" wrapText="1"/>
    </xf>
    <xf numFmtId="0" fontId="6" fillId="4" borderId="31" xfId="0" applyFont="1" applyFill="1" applyBorder="1" applyAlignment="1">
      <alignment vertical="center" wrapText="1"/>
    </xf>
    <xf numFmtId="0" fontId="8" fillId="4" borderId="7" xfId="0" applyFont="1" applyFill="1" applyBorder="1" applyAlignment="1">
      <alignment horizontal="center" vertical="center" wrapText="1" readingOrder="1"/>
    </xf>
    <xf numFmtId="0" fontId="6" fillId="4" borderId="8" xfId="0" applyFont="1" applyFill="1" applyBorder="1" applyAlignment="1">
      <alignment horizontal="center" vertical="center" wrapText="1" readingOrder="1"/>
    </xf>
    <xf numFmtId="4" fontId="6" fillId="4" borderId="7" xfId="0" applyNumberFormat="1" applyFont="1" applyFill="1" applyBorder="1" applyAlignment="1">
      <alignment horizontal="center" vertical="center" wrapText="1" readingOrder="1"/>
    </xf>
    <xf numFmtId="0" fontId="6" fillId="4" borderId="26" xfId="0" applyFont="1" applyFill="1" applyBorder="1" applyAlignment="1">
      <alignment horizontal="center" vertical="top" wrapText="1" readingOrder="1"/>
    </xf>
    <xf numFmtId="4" fontId="6" fillId="4" borderId="26" xfId="0" applyNumberFormat="1" applyFont="1" applyFill="1" applyBorder="1" applyAlignment="1">
      <alignment horizontal="center" vertical="top" wrapText="1" readingOrder="1"/>
    </xf>
    <xf numFmtId="4" fontId="6" fillId="4" borderId="43" xfId="0" applyNumberFormat="1" applyFont="1" applyFill="1" applyBorder="1" applyAlignment="1">
      <alignment horizontal="center" vertical="top" wrapText="1" readingOrder="1"/>
    </xf>
    <xf numFmtId="4" fontId="6" fillId="4" borderId="44" xfId="0" applyNumberFormat="1" applyFont="1" applyFill="1" applyBorder="1" applyAlignment="1">
      <alignment horizontal="center" vertical="top" wrapText="1" readingOrder="1"/>
    </xf>
    <xf numFmtId="0" fontId="6" fillId="4" borderId="27" xfId="0" applyFont="1" applyFill="1" applyBorder="1" applyAlignment="1">
      <alignment horizontal="center" vertical="top" wrapText="1" readingOrder="1"/>
    </xf>
    <xf numFmtId="0" fontId="5" fillId="4" borderId="27" xfId="0" applyFont="1" applyFill="1" applyBorder="1" applyAlignment="1">
      <alignment vertical="top" wrapText="1"/>
    </xf>
    <xf numFmtId="0" fontId="5" fillId="4" borderId="27" xfId="0" applyFont="1" applyFill="1" applyBorder="1" applyAlignment="1">
      <alignment horizontal="center" vertical="top" wrapText="1"/>
    </xf>
    <xf numFmtId="4" fontId="6" fillId="4" borderId="45" xfId="0" applyNumberFormat="1" applyFont="1" applyFill="1" applyBorder="1" applyAlignment="1">
      <alignment horizontal="center" vertical="top" wrapText="1" readingOrder="1"/>
    </xf>
    <xf numFmtId="0" fontId="19" fillId="4" borderId="7" xfId="0" applyFont="1" applyFill="1" applyBorder="1" applyAlignment="1">
      <alignment horizontal="center" vertical="top" wrapText="1" readingOrder="1"/>
    </xf>
    <xf numFmtId="0" fontId="8" fillId="4" borderId="7" xfId="0" applyFont="1" applyFill="1" applyBorder="1" applyAlignment="1">
      <alignment horizontal="center" vertical="center" wrapText="1" readingOrder="1"/>
    </xf>
    <xf numFmtId="0" fontId="8" fillId="4" borderId="8" xfId="0" applyFont="1" applyFill="1" applyBorder="1" applyAlignment="1">
      <alignment horizontal="center" vertical="center" wrapText="1" readingOrder="1"/>
    </xf>
    <xf numFmtId="4" fontId="8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vertical="top" wrapText="1"/>
    </xf>
    <xf numFmtId="0" fontId="6" fillId="4" borderId="8" xfId="0" applyFont="1" applyFill="1" applyBorder="1" applyAlignment="1">
      <alignment horizontal="center" vertical="center" wrapText="1" readingOrder="1"/>
    </xf>
    <xf numFmtId="4" fontId="6" fillId="4" borderId="7" xfId="0" applyNumberFormat="1" applyFont="1" applyFill="1" applyBorder="1" applyAlignment="1">
      <alignment horizontal="center" vertical="center" wrapText="1" readingOrder="1"/>
    </xf>
    <xf numFmtId="0" fontId="19" fillId="4" borderId="9" xfId="0" applyFont="1" applyFill="1" applyBorder="1" applyAlignment="1">
      <alignment horizontal="center" vertical="center"/>
    </xf>
    <xf numFmtId="0" fontId="19" fillId="4" borderId="15" xfId="0" applyFont="1" applyFill="1" applyBorder="1" applyAlignment="1">
      <alignment horizontal="left" vertical="top" wrapText="1" readingOrder="1"/>
    </xf>
    <xf numFmtId="0" fontId="8" fillId="4" borderId="7" xfId="0" applyFont="1" applyFill="1" applyBorder="1" applyAlignment="1">
      <alignment horizontal="center" vertical="center" wrapText="1" readingOrder="1"/>
    </xf>
    <xf numFmtId="4" fontId="8" fillId="4" borderId="7" xfId="0" applyNumberFormat="1" applyFont="1" applyFill="1" applyBorder="1" applyAlignment="1">
      <alignment horizontal="center" vertical="center" wrapText="1" readingOrder="1"/>
    </xf>
    <xf numFmtId="0" fontId="8" fillId="4" borderId="8" xfId="0" applyFont="1" applyFill="1" applyBorder="1" applyAlignment="1">
      <alignment horizontal="center" vertical="center" wrapText="1" readingOrder="1"/>
    </xf>
    <xf numFmtId="4" fontId="8" fillId="3" borderId="7" xfId="0" applyNumberFormat="1" applyFont="1" applyFill="1" applyBorder="1" applyAlignment="1">
      <alignment horizontal="center" vertical="center" wrapText="1" readingOrder="1"/>
    </xf>
    <xf numFmtId="0" fontId="6" fillId="4" borderId="7" xfId="0" applyFont="1" applyFill="1" applyBorder="1" applyAlignment="1">
      <alignment horizontal="center" vertical="center" wrapText="1" readingOrder="1"/>
    </xf>
    <xf numFmtId="4" fontId="6" fillId="4" borderId="7" xfId="0" applyNumberFormat="1" applyFont="1" applyFill="1" applyBorder="1" applyAlignment="1">
      <alignment horizontal="center" vertical="center" wrapText="1" readingOrder="1"/>
    </xf>
    <xf numFmtId="0" fontId="8" fillId="4" borderId="7" xfId="0" applyFont="1" applyFill="1" applyBorder="1" applyAlignment="1">
      <alignment horizontal="center" vertical="center" wrapText="1" readingOrder="1"/>
    </xf>
    <xf numFmtId="4" fontId="8" fillId="3" borderId="7" xfId="0" applyNumberFormat="1" applyFont="1" applyFill="1" applyBorder="1" applyAlignment="1">
      <alignment horizontal="center" vertical="center" wrapText="1" readingOrder="1"/>
    </xf>
    <xf numFmtId="16" fontId="32" fillId="4" borderId="15" xfId="0" applyNumberFormat="1" applyFont="1" applyFill="1" applyBorder="1" applyAlignment="1">
      <alignment horizontal="left" wrapText="1"/>
    </xf>
    <xf numFmtId="0" fontId="6" fillId="4" borderId="7" xfId="0" applyFont="1" applyFill="1" applyBorder="1" applyAlignment="1">
      <alignment horizontal="center" vertical="center" wrapText="1" readingOrder="1"/>
    </xf>
    <xf numFmtId="0" fontId="51" fillId="0" borderId="7" xfId="0" applyFont="1" applyBorder="1" applyAlignment="1">
      <alignment vertical="center" wrapText="1"/>
    </xf>
    <xf numFmtId="0" fontId="37" fillId="3" borderId="7" xfId="0" applyFont="1" applyFill="1" applyBorder="1" applyAlignment="1">
      <alignment vertical="center" wrapText="1"/>
    </xf>
    <xf numFmtId="0" fontId="51" fillId="0" borderId="7" xfId="0" applyFont="1" applyBorder="1" applyAlignment="1">
      <alignment horizontal="center" vertical="center" wrapText="1"/>
    </xf>
    <xf numFmtId="0" fontId="21" fillId="4" borderId="7" xfId="0" applyFont="1" applyFill="1" applyBorder="1" applyAlignment="1">
      <alignment vertical="top" wrapText="1"/>
    </xf>
    <xf numFmtId="0" fontId="37" fillId="4" borderId="7" xfId="0" applyFont="1" applyFill="1" applyBorder="1" applyAlignment="1">
      <alignment vertical="center" wrapText="1"/>
    </xf>
    <xf numFmtId="0" fontId="37" fillId="4" borderId="7" xfId="3" applyFont="1" applyFill="1" applyBorder="1" applyAlignment="1">
      <alignment vertical="center"/>
    </xf>
    <xf numFmtId="0" fontId="37" fillId="4" borderId="7" xfId="0" applyFont="1" applyFill="1" applyBorder="1" applyAlignment="1">
      <alignment vertical="top" wrapText="1"/>
    </xf>
    <xf numFmtId="0" fontId="21" fillId="4" borderId="7" xfId="3" applyFont="1" applyFill="1" applyBorder="1" applyAlignment="1">
      <alignment vertical="center" wrapText="1"/>
    </xf>
    <xf numFmtId="0" fontId="21" fillId="4" borderId="7" xfId="0" applyFont="1" applyFill="1" applyBorder="1" applyAlignment="1">
      <alignment vertical="center" wrapText="1"/>
    </xf>
    <xf numFmtId="0" fontId="21" fillId="3" borderId="7" xfId="0" applyFont="1" applyFill="1" applyBorder="1" applyAlignment="1">
      <alignment vertical="center" wrapText="1"/>
    </xf>
    <xf numFmtId="0" fontId="37" fillId="3" borderId="7" xfId="0" applyFont="1" applyFill="1" applyBorder="1" applyAlignment="1">
      <alignment horizontal="right" vertical="center"/>
    </xf>
    <xf numFmtId="2" fontId="37" fillId="4" borderId="7" xfId="0" applyNumberFormat="1" applyFont="1" applyFill="1" applyBorder="1" applyAlignment="1">
      <alignment horizontal="right" vertical="center"/>
    </xf>
    <xf numFmtId="0" fontId="21" fillId="3" borderId="7" xfId="0" applyFont="1" applyFill="1" applyBorder="1" applyAlignment="1">
      <alignment horizontal="right" vertical="center"/>
    </xf>
    <xf numFmtId="2" fontId="21" fillId="4" borderId="7" xfId="0" applyNumberFormat="1" applyFont="1" applyFill="1" applyBorder="1" applyAlignment="1">
      <alignment horizontal="right" vertical="center"/>
    </xf>
    <xf numFmtId="0" fontId="51" fillId="0" borderId="7" xfId="0" applyFont="1" applyBorder="1"/>
    <xf numFmtId="0" fontId="52" fillId="0" borderId="7" xfId="0" applyFont="1" applyBorder="1" applyAlignment="1">
      <alignment vertical="center" wrapText="1"/>
    </xf>
    <xf numFmtId="0" fontId="6" fillId="4" borderId="7" xfId="0" applyFont="1" applyFill="1" applyBorder="1" applyAlignment="1">
      <alignment vertical="center" wrapText="1" readingOrder="1"/>
    </xf>
    <xf numFmtId="0" fontId="6" fillId="4" borderId="15" xfId="0" applyFont="1" applyFill="1" applyBorder="1" applyAlignment="1">
      <alignment vertical="center" wrapText="1" readingOrder="1"/>
    </xf>
    <xf numFmtId="0" fontId="4" fillId="4" borderId="15" xfId="0" applyFont="1" applyFill="1" applyBorder="1" applyAlignment="1">
      <alignment vertical="center" wrapText="1" readingOrder="1"/>
    </xf>
    <xf numFmtId="0" fontId="37" fillId="4" borderId="7" xfId="0" applyFont="1" applyFill="1" applyBorder="1" applyAlignment="1">
      <alignment horizontal="left" vertical="center" wrapText="1"/>
    </xf>
    <xf numFmtId="0" fontId="37" fillId="4" borderId="7" xfId="3" applyFont="1" applyFill="1" applyBorder="1" applyAlignment="1">
      <alignment horizontal="left" vertical="center" wrapText="1"/>
    </xf>
    <xf numFmtId="0" fontId="37" fillId="4" borderId="7" xfId="0" applyFont="1" applyFill="1" applyBorder="1" applyAlignment="1">
      <alignment horizontal="center" vertical="center" wrapText="1"/>
    </xf>
    <xf numFmtId="0" fontId="21" fillId="4" borderId="7" xfId="0" applyFont="1" applyFill="1" applyBorder="1" applyAlignment="1">
      <alignment horizontal="center" vertical="top" wrapText="1"/>
    </xf>
    <xf numFmtId="0" fontId="40" fillId="0" borderId="7" xfId="0" applyFont="1" applyBorder="1" applyAlignment="1">
      <alignment horizontal="center" vertical="center" wrapText="1"/>
    </xf>
    <xf numFmtId="0" fontId="37" fillId="4" borderId="7" xfId="0" applyFont="1" applyFill="1" applyBorder="1" applyAlignment="1">
      <alignment horizontal="center" vertical="top" wrapText="1"/>
    </xf>
    <xf numFmtId="4" fontId="37" fillId="4" borderId="7" xfId="0" applyNumberFormat="1" applyFont="1" applyFill="1" applyBorder="1" applyAlignment="1">
      <alignment horizontal="center" vertical="top" wrapText="1"/>
    </xf>
    <xf numFmtId="0" fontId="40" fillId="0" borderId="7" xfId="0" applyFont="1" applyBorder="1" applyAlignment="1">
      <alignment vertical="center" wrapText="1"/>
    </xf>
    <xf numFmtId="0" fontId="37" fillId="4" borderId="28" xfId="0" applyFont="1" applyFill="1" applyBorder="1" applyAlignment="1">
      <alignment vertical="top" wrapText="1"/>
    </xf>
    <xf numFmtId="0" fontId="37" fillId="4" borderId="29" xfId="0" applyFont="1" applyFill="1" applyBorder="1" applyAlignment="1">
      <alignment vertical="center" wrapText="1"/>
    </xf>
    <xf numFmtId="0" fontId="37" fillId="4" borderId="41" xfId="0" applyFont="1" applyFill="1" applyBorder="1" applyAlignment="1">
      <alignment vertical="center" wrapText="1"/>
    </xf>
    <xf numFmtId="4" fontId="8" fillId="8" borderId="7" xfId="0" applyNumberFormat="1" applyFont="1" applyFill="1" applyBorder="1" applyAlignment="1">
      <alignment horizontal="center" vertical="center" wrapText="1" readingOrder="1"/>
    </xf>
    <xf numFmtId="0" fontId="37" fillId="4" borderId="42" xfId="0" applyFont="1" applyFill="1" applyBorder="1" applyAlignment="1">
      <alignment vertical="top" wrapText="1"/>
    </xf>
    <xf numFmtId="0" fontId="37" fillId="4" borderId="32" xfId="0" applyFont="1" applyFill="1" applyBorder="1" applyAlignment="1">
      <alignment vertical="top" wrapText="1"/>
    </xf>
    <xf numFmtId="0" fontId="37" fillId="4" borderId="29" xfId="0" applyFont="1" applyFill="1" applyBorder="1" applyAlignment="1">
      <alignment vertical="top" wrapText="1"/>
    </xf>
    <xf numFmtId="0" fontId="37" fillId="4" borderId="30" xfId="0" applyFont="1" applyFill="1" applyBorder="1" applyAlignment="1">
      <alignment vertical="top" wrapText="1"/>
    </xf>
    <xf numFmtId="4" fontId="37" fillId="4" borderId="26" xfId="0" applyNumberFormat="1" applyFont="1" applyFill="1" applyBorder="1" applyAlignment="1">
      <alignment horizontal="center" vertical="center"/>
    </xf>
    <xf numFmtId="4" fontId="37" fillId="4" borderId="7" xfId="0" applyNumberFormat="1" applyFont="1" applyFill="1" applyBorder="1" applyAlignment="1">
      <alignment horizontal="center" vertical="center"/>
    </xf>
    <xf numFmtId="4" fontId="37" fillId="4" borderId="27" xfId="0" applyNumberFormat="1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 wrapText="1"/>
    </xf>
    <xf numFmtId="0" fontId="37" fillId="4" borderId="8" xfId="0" applyFont="1" applyFill="1" applyBorder="1" applyAlignment="1">
      <alignment horizontal="left" vertical="center" wrapText="1"/>
    </xf>
    <xf numFmtId="0" fontId="51" fillId="0" borderId="0" xfId="0" applyFont="1" applyAlignment="1">
      <alignment vertical="center" wrapText="1"/>
    </xf>
    <xf numFmtId="0" fontId="37" fillId="4" borderId="46" xfId="0" applyFont="1" applyFill="1" applyBorder="1" applyAlignment="1">
      <alignment vertical="top" wrapText="1"/>
    </xf>
    <xf numFmtId="0" fontId="37" fillId="4" borderId="0" xfId="0" applyFont="1" applyFill="1" applyAlignment="1">
      <alignment vertical="top" wrapText="1"/>
    </xf>
    <xf numFmtId="0" fontId="37" fillId="9" borderId="7" xfId="0" applyFont="1" applyFill="1" applyBorder="1" applyAlignment="1">
      <alignment vertical="center" wrapText="1"/>
    </xf>
    <xf numFmtId="0" fontId="37" fillId="7" borderId="7" xfId="0" applyFont="1" applyFill="1" applyBorder="1" applyAlignment="1">
      <alignment vertical="top" wrapText="1"/>
    </xf>
    <xf numFmtId="0" fontId="37" fillId="4" borderId="14" xfId="0" applyFont="1" applyFill="1" applyBorder="1" applyAlignment="1">
      <alignment vertical="top" wrapText="1"/>
    </xf>
    <xf numFmtId="0" fontId="21" fillId="7" borderId="47" xfId="0" applyFont="1" applyFill="1" applyBorder="1" applyAlignment="1">
      <alignment vertical="top" wrapText="1"/>
    </xf>
    <xf numFmtId="0" fontId="51" fillId="0" borderId="29" xfId="0" applyFont="1" applyBorder="1" applyAlignment="1">
      <alignment vertical="center" wrapText="1"/>
    </xf>
    <xf numFmtId="0" fontId="51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51" fillId="0" borderId="9" xfId="0" applyFont="1" applyBorder="1" applyAlignment="1">
      <alignment vertical="center" wrapText="1"/>
    </xf>
    <xf numFmtId="0" fontId="37" fillId="4" borderId="9" xfId="3" applyFont="1" applyFill="1" applyBorder="1" applyAlignment="1">
      <alignment horizontal="left" vertical="center" wrapText="1"/>
    </xf>
    <xf numFmtId="0" fontId="37" fillId="4" borderId="8" xfId="0" applyFont="1" applyFill="1" applyBorder="1" applyAlignment="1">
      <alignment horizontal="center" vertical="center" wrapText="1"/>
    </xf>
    <xf numFmtId="0" fontId="21" fillId="4" borderId="8" xfId="0" applyFont="1" applyFill="1" applyBorder="1" applyAlignment="1">
      <alignment horizontal="center" vertical="top" wrapText="1"/>
    </xf>
    <xf numFmtId="0" fontId="37" fillId="3" borderId="7" xfId="0" applyFont="1" applyFill="1" applyBorder="1" applyAlignment="1">
      <alignment horizontal="center" vertical="center"/>
    </xf>
    <xf numFmtId="0" fontId="37" fillId="9" borderId="7" xfId="0" applyFont="1" applyFill="1" applyBorder="1" applyAlignment="1">
      <alignment horizontal="center" vertical="center"/>
    </xf>
    <xf numFmtId="0" fontId="21" fillId="7" borderId="7" xfId="0" applyFont="1" applyFill="1" applyBorder="1" applyAlignment="1">
      <alignment horizontal="center" vertical="top" wrapText="1"/>
    </xf>
    <xf numFmtId="0" fontId="37" fillId="4" borderId="9" xfId="0" applyFont="1" applyFill="1" applyBorder="1" applyAlignment="1">
      <alignment horizontal="center" vertical="top" wrapText="1"/>
    </xf>
    <xf numFmtId="0" fontId="21" fillId="7" borderId="9" xfId="0" applyFont="1" applyFill="1" applyBorder="1" applyAlignment="1">
      <alignment horizontal="center" vertical="top" wrapText="1"/>
    </xf>
    <xf numFmtId="0" fontId="21" fillId="4" borderId="27" xfId="0" applyFont="1" applyFill="1" applyBorder="1" applyAlignment="1">
      <alignment horizontal="center" vertical="top" wrapText="1"/>
    </xf>
    <xf numFmtId="0" fontId="51" fillId="0" borderId="9" xfId="0" applyFont="1" applyBorder="1" applyAlignment="1">
      <alignment horizontal="center" vertical="center" wrapText="1"/>
    </xf>
    <xf numFmtId="4" fontId="37" fillId="4" borderId="8" xfId="0" applyNumberFormat="1" applyFont="1" applyFill="1" applyBorder="1" applyAlignment="1">
      <alignment horizontal="center" vertical="top" wrapText="1"/>
    </xf>
    <xf numFmtId="4" fontId="37" fillId="3" borderId="7" xfId="0" applyNumberFormat="1" applyFont="1" applyFill="1" applyBorder="1" applyAlignment="1">
      <alignment horizontal="right" vertical="center"/>
    </xf>
    <xf numFmtId="4" fontId="37" fillId="7" borderId="7" xfId="0" applyNumberFormat="1" applyFont="1" applyFill="1" applyBorder="1" applyAlignment="1">
      <alignment horizontal="center" vertical="top" wrapText="1"/>
    </xf>
    <xf numFmtId="4" fontId="37" fillId="4" borderId="9" xfId="0" applyNumberFormat="1" applyFont="1" applyFill="1" applyBorder="1" applyAlignment="1">
      <alignment horizontal="center" vertical="top" wrapText="1"/>
    </xf>
    <xf numFmtId="4" fontId="21" fillId="7" borderId="9" xfId="0" applyNumberFormat="1" applyFont="1" applyFill="1" applyBorder="1" applyAlignment="1">
      <alignment horizontal="center" vertical="top" wrapText="1"/>
    </xf>
    <xf numFmtId="4" fontId="37" fillId="4" borderId="27" xfId="0" applyNumberFormat="1" applyFont="1" applyFill="1" applyBorder="1" applyAlignment="1">
      <alignment horizontal="center" vertical="top" wrapText="1"/>
    </xf>
    <xf numFmtId="4" fontId="37" fillId="7" borderId="9" xfId="0" applyNumberFormat="1" applyFont="1" applyFill="1" applyBorder="1" applyAlignment="1">
      <alignment horizontal="center" vertical="top" wrapText="1"/>
    </xf>
    <xf numFmtId="0" fontId="37" fillId="3" borderId="7" xfId="0" applyFont="1" applyFill="1" applyBorder="1" applyAlignment="1">
      <alignment vertical="center"/>
    </xf>
    <xf numFmtId="4" fontId="37" fillId="3" borderId="7" xfId="0" applyNumberFormat="1" applyFont="1" applyFill="1" applyBorder="1" applyAlignment="1">
      <alignment horizontal="center" vertical="center"/>
    </xf>
    <xf numFmtId="4" fontId="37" fillId="9" borderId="7" xfId="0" applyNumberFormat="1" applyFont="1" applyFill="1" applyBorder="1" applyAlignment="1">
      <alignment horizontal="center" vertical="center"/>
    </xf>
    <xf numFmtId="0" fontId="2" fillId="0" borderId="0" xfId="0" applyFont="1"/>
    <xf numFmtId="16" fontId="53" fillId="0" borderId="15" xfId="0" applyNumberFormat="1" applyFont="1" applyBorder="1" applyAlignment="1">
      <alignment horizontal="left" wrapText="1"/>
    </xf>
    <xf numFmtId="1" fontId="53" fillId="0" borderId="13" xfId="0" applyNumberFormat="1" applyFont="1" applyBorder="1" applyAlignment="1">
      <alignment horizontal="center" wrapText="1"/>
    </xf>
    <xf numFmtId="0" fontId="54" fillId="0" borderId="0" xfId="0" applyFont="1"/>
    <xf numFmtId="0" fontId="54" fillId="0" borderId="7" xfId="0" applyFont="1" applyBorder="1"/>
    <xf numFmtId="0" fontId="21" fillId="3" borderId="7" xfId="0" applyFont="1" applyFill="1" applyBorder="1" applyAlignment="1">
      <alignment vertical="center"/>
    </xf>
    <xf numFmtId="0" fontId="37" fillId="4" borderId="7" xfId="0" applyFont="1" applyFill="1" applyBorder="1"/>
    <xf numFmtId="0" fontId="6" fillId="3" borderId="7" xfId="0" applyFont="1" applyFill="1" applyBorder="1" applyAlignment="1">
      <alignment vertical="center" wrapText="1"/>
    </xf>
    <xf numFmtId="0" fontId="28" fillId="3" borderId="7" xfId="0" applyFont="1" applyFill="1" applyBorder="1" applyAlignment="1">
      <alignment vertical="center" wrapText="1"/>
    </xf>
    <xf numFmtId="0" fontId="5" fillId="3" borderId="7" xfId="0" applyFont="1" applyFill="1" applyBorder="1" applyAlignment="1">
      <alignment vertical="center"/>
    </xf>
    <xf numFmtId="0" fontId="21" fillId="3" borderId="7" xfId="0" applyFont="1" applyFill="1" applyBorder="1" applyAlignment="1">
      <alignment horizontal="center" vertical="center"/>
    </xf>
    <xf numFmtId="4" fontId="21" fillId="3" borderId="7" xfId="0" applyNumberFormat="1" applyFont="1" applyFill="1" applyBorder="1" applyAlignment="1">
      <alignment horizontal="center" vertical="center"/>
    </xf>
    <xf numFmtId="0" fontId="28" fillId="3" borderId="7" xfId="0" applyFont="1" applyFill="1" applyBorder="1" applyAlignment="1">
      <alignment vertical="center"/>
    </xf>
    <xf numFmtId="0" fontId="6" fillId="0" borderId="7" xfId="0" applyFont="1" applyBorder="1" applyAlignment="1">
      <alignment vertical="center" wrapText="1"/>
    </xf>
    <xf numFmtId="0" fontId="37" fillId="0" borderId="7" xfId="0" applyFont="1" applyBorder="1" applyAlignment="1">
      <alignment vertical="center" wrapText="1"/>
    </xf>
    <xf numFmtId="0" fontId="37" fillId="0" borderId="7" xfId="0" applyFont="1" applyBorder="1" applyAlignment="1">
      <alignment horizontal="right" vertical="center" wrapText="1"/>
    </xf>
    <xf numFmtId="0" fontId="6" fillId="0" borderId="7" xfId="0" applyFont="1" applyBorder="1" applyAlignment="1">
      <alignment horizontal="right" vertical="center" wrapText="1"/>
    </xf>
    <xf numFmtId="0" fontId="6" fillId="0" borderId="7" xfId="0" applyFont="1" applyBorder="1"/>
    <xf numFmtId="4" fontId="21" fillId="3" borderId="9" xfId="0" applyNumberFormat="1" applyFont="1" applyFill="1" applyBorder="1" applyAlignment="1">
      <alignment horizontal="center" vertical="center" wrapText="1"/>
    </xf>
    <xf numFmtId="1" fontId="32" fillId="4" borderId="13" xfId="0" applyNumberFormat="1" applyFont="1" applyFill="1" applyBorder="1" applyAlignment="1">
      <alignment horizontal="center" wrapText="1"/>
    </xf>
    <xf numFmtId="0" fontId="8" fillId="4" borderId="19" xfId="0" applyFont="1" applyFill="1" applyBorder="1" applyAlignment="1">
      <alignment horizontal="left" vertical="center" wrapText="1" readingOrder="1"/>
    </xf>
    <xf numFmtId="0" fontId="8" fillId="4" borderId="20" xfId="0" applyFont="1" applyFill="1" applyBorder="1" applyAlignment="1">
      <alignment horizontal="left" vertical="center" wrapText="1" readingOrder="1"/>
    </xf>
    <xf numFmtId="0" fontId="8" fillId="4" borderId="4" xfId="0" applyFont="1" applyFill="1" applyBorder="1" applyAlignment="1">
      <alignment horizontal="center" vertical="center" wrapText="1" readingOrder="1"/>
    </xf>
    <xf numFmtId="0" fontId="8" fillId="4" borderId="2" xfId="0" applyFont="1" applyFill="1" applyBorder="1" applyAlignment="1">
      <alignment horizontal="center" vertical="center" wrapText="1" readingOrder="1"/>
    </xf>
    <xf numFmtId="0" fontId="8" fillId="4" borderId="3" xfId="0" applyFont="1" applyFill="1" applyBorder="1" applyAlignment="1">
      <alignment horizontal="center" vertical="center" wrapText="1" readingOrder="1"/>
    </xf>
    <xf numFmtId="0" fontId="8" fillId="4" borderId="5" xfId="0" applyFont="1" applyFill="1" applyBorder="1" applyAlignment="1">
      <alignment horizontal="center" vertical="center" wrapText="1" readingOrder="1"/>
    </xf>
    <xf numFmtId="0" fontId="8" fillId="4" borderId="6" xfId="0" applyFont="1" applyFill="1" applyBorder="1" applyAlignment="1">
      <alignment horizontal="center" vertical="center" wrapText="1" readingOrder="1"/>
    </xf>
    <xf numFmtId="0" fontId="8" fillId="4" borderId="0" xfId="0" applyFont="1" applyFill="1" applyAlignment="1">
      <alignment horizontal="center"/>
    </xf>
    <xf numFmtId="0" fontId="20" fillId="4" borderId="0" xfId="0" applyFont="1" applyFill="1" applyAlignment="1">
      <alignment horizontal="left" vertical="center" wrapText="1"/>
    </xf>
    <xf numFmtId="0" fontId="22" fillId="4" borderId="0" xfId="0" applyFont="1" applyFill="1" applyAlignment="1">
      <alignment horizontal="left" vertical="top" wrapText="1"/>
    </xf>
    <xf numFmtId="0" fontId="22" fillId="4" borderId="11" xfId="0" applyFont="1" applyFill="1" applyBorder="1" applyAlignment="1">
      <alignment horizontal="left" vertical="top" wrapText="1"/>
    </xf>
    <xf numFmtId="0" fontId="8" fillId="4" borderId="19" xfId="0" applyFont="1" applyFill="1" applyBorder="1" applyAlignment="1">
      <alignment horizontal="center" vertical="center" wrapText="1" readingOrder="1"/>
    </xf>
    <xf numFmtId="0" fontId="8" fillId="4" borderId="20" xfId="0" applyFont="1" applyFill="1" applyBorder="1" applyAlignment="1">
      <alignment horizontal="center" vertical="center" wrapText="1" readingOrder="1"/>
    </xf>
    <xf numFmtId="0" fontId="20" fillId="4" borderId="15" xfId="0" applyFont="1" applyFill="1" applyBorder="1" applyAlignment="1">
      <alignment horizontal="center" vertical="top" wrapText="1" readingOrder="1"/>
    </xf>
    <xf numFmtId="0" fontId="20" fillId="4" borderId="16" xfId="0" applyFont="1" applyFill="1" applyBorder="1" applyAlignment="1">
      <alignment horizontal="center" vertical="top" wrapText="1" readingOrder="1"/>
    </xf>
    <xf numFmtId="0" fontId="20" fillId="4" borderId="13" xfId="0" applyFont="1" applyFill="1" applyBorder="1" applyAlignment="1">
      <alignment horizontal="center" vertical="top" wrapText="1" readingOrder="1"/>
    </xf>
    <xf numFmtId="0" fontId="8" fillId="4" borderId="15" xfId="0" applyFont="1" applyFill="1" applyBorder="1" applyAlignment="1">
      <alignment horizontal="left" wrapText="1"/>
    </xf>
    <xf numFmtId="0" fontId="8" fillId="4" borderId="16" xfId="0" applyFont="1" applyFill="1" applyBorder="1" applyAlignment="1">
      <alignment horizontal="left" wrapText="1"/>
    </xf>
    <xf numFmtId="0" fontId="8" fillId="4" borderId="13" xfId="0" applyFont="1" applyFill="1" applyBorder="1" applyAlignment="1">
      <alignment horizontal="left" wrapText="1"/>
    </xf>
    <xf numFmtId="0" fontId="8" fillId="0" borderId="7" xfId="0" applyFont="1" applyBorder="1" applyAlignment="1">
      <alignment horizontal="center" vertical="top" wrapText="1"/>
    </xf>
    <xf numFmtId="0" fontId="15" fillId="0" borderId="7" xfId="0" applyFont="1" applyBorder="1" applyAlignment="1">
      <alignment horizontal="center" vertical="top" wrapText="1"/>
    </xf>
    <xf numFmtId="16" fontId="53" fillId="0" borderId="15" xfId="0" applyNumberFormat="1" applyFont="1" applyBorder="1" applyAlignment="1">
      <alignment horizontal="left" wrapText="1"/>
    </xf>
    <xf numFmtId="16" fontId="53" fillId="0" borderId="16" xfId="0" applyNumberFormat="1" applyFont="1" applyBorder="1" applyAlignment="1">
      <alignment horizontal="left" wrapText="1"/>
    </xf>
    <xf numFmtId="16" fontId="53" fillId="0" borderId="13" xfId="0" applyNumberFormat="1" applyFont="1" applyBorder="1" applyAlignment="1">
      <alignment horizontal="left" wrapText="1"/>
    </xf>
    <xf numFmtId="0" fontId="23" fillId="0" borderId="15" xfId="0" applyFont="1" applyBorder="1" applyAlignment="1">
      <alignment horizontal="left"/>
    </xf>
    <xf numFmtId="0" fontId="23" fillId="0" borderId="16" xfId="0" applyFont="1" applyBorder="1" applyAlignment="1">
      <alignment horizontal="left"/>
    </xf>
    <xf numFmtId="0" fontId="23" fillId="0" borderId="13" xfId="0" applyFont="1" applyBorder="1" applyAlignment="1">
      <alignment horizontal="left"/>
    </xf>
    <xf numFmtId="0" fontId="31" fillId="0" borderId="15" xfId="0" applyFont="1" applyBorder="1" applyAlignment="1">
      <alignment horizontal="left" wrapText="1"/>
    </xf>
    <xf numFmtId="0" fontId="31" fillId="0" borderId="16" xfId="0" applyFont="1" applyBorder="1" applyAlignment="1">
      <alignment horizontal="left" wrapText="1"/>
    </xf>
    <xf numFmtId="0" fontId="31" fillId="0" borderId="13" xfId="0" applyFont="1" applyBorder="1" applyAlignment="1">
      <alignment horizontal="left" wrapText="1"/>
    </xf>
    <xf numFmtId="0" fontId="5" fillId="0" borderId="15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5" fillId="0" borderId="13" xfId="0" applyFont="1" applyBorder="1" applyAlignment="1">
      <alignment horizontal="left"/>
    </xf>
    <xf numFmtId="0" fontId="20" fillId="0" borderId="15" xfId="0" applyFont="1" applyBorder="1" applyAlignment="1">
      <alignment horizontal="left" wrapText="1"/>
    </xf>
    <xf numFmtId="0" fontId="20" fillId="0" borderId="16" xfId="0" applyFont="1" applyBorder="1" applyAlignment="1">
      <alignment horizontal="left" wrapText="1"/>
    </xf>
    <xf numFmtId="0" fontId="20" fillId="0" borderId="13" xfId="0" applyFont="1" applyBorder="1" applyAlignment="1">
      <alignment horizontal="left" wrapText="1"/>
    </xf>
    <xf numFmtId="0" fontId="35" fillId="0" borderId="0" xfId="0" applyFont="1" applyAlignment="1">
      <alignment horizontal="left" wrapText="1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wrapText="1"/>
    </xf>
    <xf numFmtId="0" fontId="15" fillId="0" borderId="15" xfId="0" applyFont="1" applyBorder="1" applyAlignment="1">
      <alignment horizontal="left" wrapText="1"/>
    </xf>
    <xf numFmtId="0" fontId="15" fillId="0" borderId="16" xfId="0" applyFont="1" applyBorder="1" applyAlignment="1">
      <alignment horizontal="left" wrapText="1"/>
    </xf>
    <xf numFmtId="0" fontId="15" fillId="0" borderId="13" xfId="0" applyFont="1" applyBorder="1" applyAlignment="1">
      <alignment horizontal="left" wrapText="1"/>
    </xf>
    <xf numFmtId="16" fontId="15" fillId="0" borderId="15" xfId="0" applyNumberFormat="1" applyFont="1" applyBorder="1" applyAlignment="1">
      <alignment horizontal="left" wrapText="1"/>
    </xf>
    <xf numFmtId="16" fontId="15" fillId="0" borderId="16" xfId="0" applyNumberFormat="1" applyFont="1" applyBorder="1" applyAlignment="1">
      <alignment horizontal="left" wrapText="1"/>
    </xf>
    <xf numFmtId="16" fontId="15" fillId="0" borderId="13" xfId="0" applyNumberFormat="1" applyFont="1" applyBorder="1" applyAlignment="1">
      <alignment horizontal="left" wrapText="1"/>
    </xf>
    <xf numFmtId="0" fontId="8" fillId="4" borderId="15" xfId="0" applyFont="1" applyFill="1" applyBorder="1" applyAlignment="1">
      <alignment horizontal="center" vertical="center" wrapText="1" readingOrder="1"/>
    </xf>
    <xf numFmtId="0" fontId="8" fillId="4" borderId="13" xfId="0" applyFont="1" applyFill="1" applyBorder="1" applyAlignment="1">
      <alignment horizontal="center" vertical="center" wrapText="1" readingOrder="1"/>
    </xf>
    <xf numFmtId="0" fontId="28" fillId="4" borderId="0" xfId="0" applyFont="1" applyFill="1" applyBorder="1" applyAlignment="1">
      <alignment horizontal="center" vertical="top" wrapText="1"/>
    </xf>
    <xf numFmtId="0" fontId="8" fillId="4" borderId="23" xfId="0" applyFont="1" applyFill="1" applyBorder="1" applyAlignment="1">
      <alignment horizontal="center" vertical="top" wrapText="1" readingOrder="1"/>
    </xf>
    <xf numFmtId="0" fontId="8" fillId="4" borderId="14" xfId="0" applyFont="1" applyFill="1" applyBorder="1" applyAlignment="1">
      <alignment horizontal="center" vertical="top" wrapText="1" readingOrder="1"/>
    </xf>
    <xf numFmtId="0" fontId="8" fillId="4" borderId="25" xfId="0" applyFont="1" applyFill="1" applyBorder="1" applyAlignment="1">
      <alignment horizontal="center" vertical="top" wrapText="1" readingOrder="1"/>
    </xf>
    <xf numFmtId="0" fontId="4" fillId="4" borderId="18" xfId="0" applyFont="1" applyFill="1" applyBorder="1" applyAlignment="1">
      <alignment horizontal="center" vertical="top"/>
    </xf>
    <xf numFmtId="0" fontId="5" fillId="4" borderId="7" xfId="3" applyFont="1" applyFill="1" applyBorder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 readingOrder="1"/>
    </xf>
    <xf numFmtId="4" fontId="8" fillId="4" borderId="7" xfId="0" applyNumberFormat="1" applyFont="1" applyFill="1" applyBorder="1" applyAlignment="1">
      <alignment horizontal="center" vertical="center" wrapText="1" readingOrder="1"/>
    </xf>
    <xf numFmtId="0" fontId="8" fillId="4" borderId="7" xfId="0" applyFont="1" applyFill="1" applyBorder="1" applyAlignment="1">
      <alignment horizontal="center" vertical="top" wrapText="1" readingOrder="1"/>
    </xf>
    <xf numFmtId="0" fontId="5" fillId="4" borderId="8" xfId="0" applyFont="1" applyFill="1" applyBorder="1" applyAlignment="1">
      <alignment horizontal="center" vertical="top" wrapText="1"/>
    </xf>
    <xf numFmtId="0" fontId="5" fillId="4" borderId="12" xfId="0" applyFont="1" applyFill="1" applyBorder="1" applyAlignment="1">
      <alignment horizontal="center" vertical="top" wrapText="1"/>
    </xf>
    <xf numFmtId="0" fontId="5" fillId="4" borderId="9" xfId="0" applyFont="1" applyFill="1" applyBorder="1" applyAlignment="1">
      <alignment horizontal="center" vertical="top" wrapText="1"/>
    </xf>
    <xf numFmtId="0" fontId="5" fillId="4" borderId="22" xfId="0" applyFont="1" applyFill="1" applyBorder="1" applyAlignment="1">
      <alignment vertical="top" wrapText="1"/>
    </xf>
    <xf numFmtId="0" fontId="5" fillId="4" borderId="18" xfId="0" applyFont="1" applyFill="1" applyBorder="1" applyAlignment="1">
      <alignment vertical="top" wrapText="1"/>
    </xf>
    <xf numFmtId="0" fontId="5" fillId="4" borderId="24" xfId="0" applyFont="1" applyFill="1" applyBorder="1" applyAlignment="1">
      <alignment vertical="top" wrapText="1"/>
    </xf>
    <xf numFmtId="0" fontId="5" fillId="4" borderId="25" xfId="0" applyFont="1" applyFill="1" applyBorder="1" applyAlignment="1">
      <alignment vertical="top" wrapText="1"/>
    </xf>
    <xf numFmtId="0" fontId="5" fillId="4" borderId="17" xfId="0" applyFont="1" applyFill="1" applyBorder="1" applyAlignment="1">
      <alignment vertical="top" wrapText="1"/>
    </xf>
    <xf numFmtId="0" fontId="5" fillId="4" borderId="14" xfId="0" applyFont="1" applyFill="1" applyBorder="1" applyAlignment="1">
      <alignment vertical="top" wrapText="1"/>
    </xf>
    <xf numFmtId="0" fontId="5" fillId="4" borderId="15" xfId="0" applyFont="1" applyFill="1" applyBorder="1" applyAlignment="1">
      <alignment horizontal="center" vertical="top" wrapText="1"/>
    </xf>
    <xf numFmtId="0" fontId="5" fillId="4" borderId="16" xfId="0" applyFont="1" applyFill="1" applyBorder="1" applyAlignment="1">
      <alignment horizontal="center" vertical="top" wrapText="1"/>
    </xf>
    <xf numFmtId="0" fontId="5" fillId="4" borderId="13" xfId="0" applyFont="1" applyFill="1" applyBorder="1" applyAlignment="1">
      <alignment horizontal="center" vertical="top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vertical="top" wrapText="1"/>
    </xf>
    <xf numFmtId="0" fontId="5" fillId="4" borderId="13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left" vertical="top" wrapText="1"/>
    </xf>
    <xf numFmtId="0" fontId="28" fillId="4" borderId="7" xfId="0" applyFont="1" applyFill="1" applyBorder="1" applyAlignment="1">
      <alignment horizontal="left"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22" fillId="4" borderId="0" xfId="0" applyFont="1" applyFill="1" applyAlignment="1">
      <alignment horizontal="left" vertical="center" wrapText="1"/>
    </xf>
    <xf numFmtId="0" fontId="6" fillId="4" borderId="10" xfId="0" applyFont="1" applyFill="1" applyBorder="1" applyAlignment="1">
      <alignment horizontal="left" vertical="center"/>
    </xf>
    <xf numFmtId="0" fontId="6" fillId="4" borderId="22" xfId="0" applyFont="1" applyFill="1" applyBorder="1" applyAlignment="1">
      <alignment horizontal="center" vertical="top" wrapText="1" readingOrder="1"/>
    </xf>
    <xf numFmtId="0" fontId="6" fillId="4" borderId="23" xfId="0" applyFont="1" applyFill="1" applyBorder="1" applyAlignment="1">
      <alignment horizontal="center" vertical="top" wrapText="1" readingOrder="1"/>
    </xf>
    <xf numFmtId="0" fontId="6" fillId="4" borderId="15" xfId="0" applyFont="1" applyFill="1" applyBorder="1" applyAlignment="1">
      <alignment horizontal="left" vertical="top" wrapText="1"/>
    </xf>
    <xf numFmtId="0" fontId="6" fillId="4" borderId="13" xfId="0" applyFont="1" applyFill="1" applyBorder="1" applyAlignment="1">
      <alignment horizontal="left" vertical="top" wrapText="1"/>
    </xf>
    <xf numFmtId="0" fontId="6" fillId="4" borderId="15" xfId="0" applyFont="1" applyFill="1" applyBorder="1" applyAlignment="1">
      <alignment horizontal="left" vertical="top" wrapText="1" readingOrder="1"/>
    </xf>
    <xf numFmtId="0" fontId="6" fillId="4" borderId="13" xfId="0" applyFont="1" applyFill="1" applyBorder="1" applyAlignment="1">
      <alignment horizontal="left" vertical="top" wrapText="1" readingOrder="1"/>
    </xf>
    <xf numFmtId="0" fontId="4" fillId="4" borderId="15" xfId="0" applyFont="1" applyFill="1" applyBorder="1" applyAlignment="1">
      <alignment horizontal="left" vertical="top"/>
    </xf>
    <xf numFmtId="0" fontId="4" fillId="4" borderId="13" xfId="0" applyFont="1" applyFill="1" applyBorder="1" applyAlignment="1">
      <alignment horizontal="left" vertical="top"/>
    </xf>
    <xf numFmtId="0" fontId="28" fillId="4" borderId="7" xfId="0" applyFont="1" applyFill="1" applyBorder="1" applyAlignment="1">
      <alignment vertical="top" wrapText="1"/>
    </xf>
    <xf numFmtId="0" fontId="5" fillId="4" borderId="7" xfId="0" applyFont="1" applyFill="1" applyBorder="1" applyAlignment="1">
      <alignment vertical="top" wrapText="1"/>
    </xf>
    <xf numFmtId="0" fontId="5" fillId="4" borderId="8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/>
    </xf>
    <xf numFmtId="4" fontId="8" fillId="3" borderId="8" xfId="0" applyNumberFormat="1" applyFont="1" applyFill="1" applyBorder="1" applyAlignment="1">
      <alignment horizontal="center" vertical="center" wrapText="1" readingOrder="1"/>
    </xf>
    <xf numFmtId="4" fontId="8" fillId="3" borderId="9" xfId="0" applyNumberFormat="1" applyFont="1" applyFill="1" applyBorder="1" applyAlignment="1">
      <alignment horizontal="center" vertical="center" wrapText="1" readingOrder="1"/>
    </xf>
    <xf numFmtId="0" fontId="8" fillId="4" borderId="22" xfId="0" applyFont="1" applyFill="1" applyBorder="1" applyAlignment="1">
      <alignment horizontal="center" vertical="center" wrapText="1" readingOrder="1"/>
    </xf>
    <xf numFmtId="0" fontId="8" fillId="4" borderId="23" xfId="0" applyFont="1" applyFill="1" applyBorder="1" applyAlignment="1">
      <alignment horizontal="center" vertical="center" wrapText="1" readingOrder="1"/>
    </xf>
    <xf numFmtId="0" fontId="22" fillId="4" borderId="15" xfId="0" applyFont="1" applyFill="1" applyBorder="1" applyAlignment="1">
      <alignment horizontal="center" vertical="top" wrapText="1" readingOrder="1"/>
    </xf>
    <xf numFmtId="0" fontId="22" fillId="4" borderId="16" xfId="0" applyFont="1" applyFill="1" applyBorder="1" applyAlignment="1">
      <alignment horizontal="center" vertical="top" wrapText="1" readingOrder="1"/>
    </xf>
    <xf numFmtId="0" fontId="22" fillId="4" borderId="13" xfId="0" applyFont="1" applyFill="1" applyBorder="1" applyAlignment="1">
      <alignment horizontal="center" vertical="top" wrapText="1" readingOrder="1"/>
    </xf>
    <xf numFmtId="0" fontId="8" fillId="4" borderId="10" xfId="0" applyFont="1" applyFill="1" applyBorder="1" applyAlignment="1">
      <alignment horizontal="left"/>
    </xf>
    <xf numFmtId="0" fontId="8" fillId="4" borderId="0" xfId="0" applyFont="1" applyFill="1" applyAlignment="1">
      <alignment horizontal="left" vertical="center" wrapText="1"/>
    </xf>
    <xf numFmtId="0" fontId="8" fillId="4" borderId="0" xfId="0" applyFont="1" applyFill="1" applyAlignment="1">
      <alignment horizontal="left" vertical="center"/>
    </xf>
    <xf numFmtId="0" fontId="8" fillId="4" borderId="0" xfId="0" applyFont="1" applyFill="1" applyAlignment="1">
      <alignment horizontal="left" vertical="center" readingOrder="1"/>
    </xf>
    <xf numFmtId="0" fontId="8" fillId="4" borderId="0" xfId="0" applyFont="1" applyFill="1" applyAlignment="1">
      <alignment horizontal="left" vertical="center" wrapText="1" readingOrder="1"/>
    </xf>
    <xf numFmtId="0" fontId="22" fillId="4" borderId="15" xfId="0" applyFont="1" applyFill="1" applyBorder="1" applyAlignment="1">
      <alignment horizontal="left" vertical="center" wrapText="1" readingOrder="1"/>
    </xf>
    <xf numFmtId="0" fontId="22" fillId="4" borderId="13" xfId="0" applyFont="1" applyFill="1" applyBorder="1" applyAlignment="1">
      <alignment horizontal="left" vertical="center" wrapText="1" readingOrder="1"/>
    </xf>
    <xf numFmtId="0" fontId="22" fillId="4" borderId="0" xfId="0" applyFont="1" applyFill="1" applyAlignment="1">
      <alignment horizontal="center" vertical="center" wrapText="1" readingOrder="1"/>
    </xf>
    <xf numFmtId="0" fontId="8" fillId="4" borderId="8" xfId="0" applyFont="1" applyFill="1" applyBorder="1" applyAlignment="1">
      <alignment horizontal="center" vertical="center" wrapText="1" readingOrder="1"/>
    </xf>
    <xf numFmtId="0" fontId="8" fillId="4" borderId="9" xfId="0" applyFont="1" applyFill="1" applyBorder="1" applyAlignment="1">
      <alignment horizontal="center" vertical="center" wrapText="1" readingOrder="1"/>
    </xf>
    <xf numFmtId="0" fontId="22" fillId="4" borderId="0" xfId="0" applyFont="1" applyFill="1" applyBorder="1" applyAlignment="1">
      <alignment horizontal="left" vertical="top" wrapText="1" readingOrder="1"/>
    </xf>
    <xf numFmtId="0" fontId="28" fillId="4" borderId="10" xfId="0" applyFont="1" applyFill="1" applyBorder="1" applyAlignment="1">
      <alignment horizontal="center" vertical="top" wrapText="1"/>
    </xf>
    <xf numFmtId="0" fontId="20" fillId="4" borderId="7" xfId="0" applyFont="1" applyFill="1" applyBorder="1" applyAlignment="1">
      <alignment horizontal="center" vertical="center" wrapText="1" readingOrder="1"/>
    </xf>
    <xf numFmtId="4" fontId="8" fillId="3" borderId="7" xfId="0" applyNumberFormat="1" applyFont="1" applyFill="1" applyBorder="1" applyAlignment="1">
      <alignment horizontal="center" vertical="center" wrapText="1" readingOrder="1"/>
    </xf>
    <xf numFmtId="0" fontId="22" fillId="4" borderId="7" xfId="0" applyFont="1" applyFill="1" applyBorder="1" applyAlignment="1">
      <alignment horizontal="right" vertical="center" wrapText="1" readingOrder="1"/>
    </xf>
    <xf numFmtId="0" fontId="22" fillId="4" borderId="18" xfId="0" applyFont="1" applyFill="1" applyBorder="1" applyAlignment="1">
      <alignment horizontal="center" vertical="center" readingOrder="1"/>
    </xf>
    <xf numFmtId="0" fontId="22" fillId="4" borderId="10" xfId="0" applyFont="1" applyFill="1" applyBorder="1" applyAlignment="1">
      <alignment horizontal="center" vertical="top"/>
    </xf>
    <xf numFmtId="0" fontId="8" fillId="4" borderId="10" xfId="0" applyFont="1" applyFill="1" applyBorder="1" applyAlignment="1">
      <alignment horizontal="left" vertical="center"/>
    </xf>
    <xf numFmtId="0" fontId="8" fillId="4" borderId="15" xfId="0" applyFont="1" applyFill="1" applyBorder="1" applyAlignment="1">
      <alignment horizontal="left"/>
    </xf>
    <xf numFmtId="0" fontId="8" fillId="4" borderId="13" xfId="0" applyFont="1" applyFill="1" applyBorder="1" applyAlignment="1">
      <alignment horizontal="left"/>
    </xf>
    <xf numFmtId="0" fontId="22" fillId="4" borderId="15" xfId="0" applyFont="1" applyFill="1" applyBorder="1" applyAlignment="1">
      <alignment horizontal="right" vertical="top" wrapText="1" readingOrder="1"/>
    </xf>
    <xf numFmtId="0" fontId="22" fillId="4" borderId="16" xfId="0" applyFont="1" applyFill="1" applyBorder="1" applyAlignment="1">
      <alignment horizontal="right" vertical="top" wrapText="1" readingOrder="1"/>
    </xf>
    <xf numFmtId="0" fontId="22" fillId="4" borderId="13" xfId="0" applyFont="1" applyFill="1" applyBorder="1" applyAlignment="1">
      <alignment horizontal="right" vertical="top" wrapText="1" readingOrder="1"/>
    </xf>
    <xf numFmtId="0" fontId="22" fillId="4" borderId="18" xfId="0" applyFont="1" applyFill="1" applyBorder="1" applyAlignment="1">
      <alignment horizontal="center" vertical="center" wrapText="1" readingOrder="1"/>
    </xf>
    <xf numFmtId="0" fontId="22" fillId="4" borderId="15" xfId="0" applyFont="1" applyFill="1" applyBorder="1" applyAlignment="1">
      <alignment horizontal="center" vertical="center" wrapText="1" readingOrder="1"/>
    </xf>
    <xf numFmtId="0" fontId="22" fillId="4" borderId="16" xfId="0" applyFont="1" applyFill="1" applyBorder="1" applyAlignment="1">
      <alignment horizontal="center" vertical="center" wrapText="1" readingOrder="1"/>
    </xf>
    <xf numFmtId="0" fontId="22" fillId="4" borderId="13" xfId="0" applyFont="1" applyFill="1" applyBorder="1" applyAlignment="1">
      <alignment horizontal="center" vertical="center" wrapText="1" readingOrder="1"/>
    </xf>
    <xf numFmtId="0" fontId="22" fillId="4" borderId="15" xfId="0" applyFont="1" applyFill="1" applyBorder="1" applyAlignment="1">
      <alignment horizontal="center" vertical="center" readingOrder="1"/>
    </xf>
    <xf numFmtId="0" fontId="22" fillId="4" borderId="16" xfId="0" applyFont="1" applyFill="1" applyBorder="1" applyAlignment="1">
      <alignment horizontal="center" vertical="center" readingOrder="1"/>
    </xf>
    <xf numFmtId="0" fontId="22" fillId="4" borderId="13" xfId="0" applyFont="1" applyFill="1" applyBorder="1" applyAlignment="1">
      <alignment horizontal="center" vertical="center" readingOrder="1"/>
    </xf>
    <xf numFmtId="0" fontId="19" fillId="4" borderId="7" xfId="0" applyFont="1" applyFill="1" applyBorder="1" applyAlignment="1">
      <alignment horizontal="center" vertical="top" wrapText="1" readingOrder="1"/>
    </xf>
    <xf numFmtId="0" fontId="22" fillId="4" borderId="15" xfId="0" applyFont="1" applyFill="1" applyBorder="1" applyAlignment="1">
      <alignment horizontal="right" vertical="center" wrapText="1" readingOrder="1"/>
    </xf>
    <xf numFmtId="0" fontId="22" fillId="4" borderId="16" xfId="0" applyFont="1" applyFill="1" applyBorder="1" applyAlignment="1">
      <alignment horizontal="right" vertical="center" wrapText="1" readingOrder="1"/>
    </xf>
    <xf numFmtId="0" fontId="22" fillId="4" borderId="13" xfId="0" applyFont="1" applyFill="1" applyBorder="1" applyAlignment="1">
      <alignment horizontal="right" vertical="center" wrapText="1" readingOrder="1"/>
    </xf>
    <xf numFmtId="0" fontId="8" fillId="4" borderId="0" xfId="0" applyFont="1" applyFill="1" applyBorder="1" applyAlignment="1">
      <alignment horizontal="center" vertical="center" wrapText="1" readingOrder="1"/>
    </xf>
    <xf numFmtId="0" fontId="40" fillId="4" borderId="7" xfId="0" applyFont="1" applyFill="1" applyBorder="1" applyAlignment="1">
      <alignment horizontal="left" vertical="center"/>
    </xf>
    <xf numFmtId="4" fontId="38" fillId="4" borderId="15" xfId="1" applyNumberFormat="1" applyFont="1" applyFill="1" applyBorder="1" applyAlignment="1">
      <alignment horizontal="right" vertical="top" wrapText="1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0" fontId="40" fillId="4" borderId="15" xfId="0" applyFont="1" applyFill="1" applyBorder="1" applyAlignment="1">
      <alignment horizontal="left" vertical="center"/>
    </xf>
    <xf numFmtId="0" fontId="40" fillId="4" borderId="16" xfId="0" applyFont="1" applyFill="1" applyBorder="1" applyAlignment="1">
      <alignment horizontal="left" vertical="center"/>
    </xf>
    <xf numFmtId="0" fontId="40" fillId="4" borderId="13" xfId="0" applyFont="1" applyFill="1" applyBorder="1" applyAlignment="1">
      <alignment horizontal="left" vertical="center"/>
    </xf>
    <xf numFmtId="4" fontId="5" fillId="4" borderId="7" xfId="1" applyNumberFormat="1" applyFont="1" applyFill="1" applyBorder="1" applyAlignment="1">
      <alignment horizontal="right" vertical="top" wrapText="1"/>
    </xf>
    <xf numFmtId="4" fontId="38" fillId="4" borderId="15" xfId="1" applyNumberFormat="1" applyFont="1" applyFill="1" applyBorder="1" applyAlignment="1">
      <alignment vertical="top" wrapText="1"/>
    </xf>
    <xf numFmtId="4" fontId="38" fillId="4" borderId="16" xfId="1" applyNumberFormat="1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vertical="top" wrapText="1"/>
    </xf>
    <xf numFmtId="0" fontId="39" fillId="4" borderId="15" xfId="0" applyFont="1" applyFill="1" applyBorder="1" applyAlignment="1">
      <alignment horizontal="left" vertical="center" wrapText="1"/>
    </xf>
    <xf numFmtId="0" fontId="39" fillId="4" borderId="16" xfId="0" applyFont="1" applyFill="1" applyBorder="1" applyAlignment="1">
      <alignment horizontal="left" vertical="center" wrapText="1"/>
    </xf>
    <xf numFmtId="0" fontId="39" fillId="4" borderId="13" xfId="0" applyFont="1" applyFill="1" applyBorder="1" applyAlignment="1">
      <alignment horizontal="left" vertical="center" wrapText="1"/>
    </xf>
    <xf numFmtId="0" fontId="39" fillId="4" borderId="7" xfId="0" applyFont="1" applyFill="1" applyBorder="1" applyAlignment="1">
      <alignment horizontal="left" vertical="center" wrapText="1"/>
    </xf>
    <xf numFmtId="0" fontId="5" fillId="4" borderId="16" xfId="0" applyFont="1" applyFill="1" applyBorder="1" applyAlignment="1">
      <alignment vertical="top" wrapText="1"/>
    </xf>
    <xf numFmtId="0" fontId="5" fillId="4" borderId="15" xfId="0" applyNumberFormat="1" applyFont="1" applyFill="1" applyBorder="1" applyAlignment="1">
      <alignment vertical="top" wrapText="1"/>
    </xf>
    <xf numFmtId="0" fontId="5" fillId="4" borderId="16" xfId="0" applyNumberFormat="1" applyFont="1" applyFill="1" applyBorder="1" applyAlignment="1">
      <alignment vertical="top" wrapText="1"/>
    </xf>
    <xf numFmtId="0" fontId="5" fillId="4" borderId="13" xfId="0" applyNumberFormat="1" applyFont="1" applyFill="1" applyBorder="1" applyAlignment="1">
      <alignment vertical="top" wrapText="1"/>
    </xf>
    <xf numFmtId="0" fontId="5" fillId="4" borderId="15" xfId="0" applyFont="1" applyFill="1" applyBorder="1" applyAlignment="1">
      <alignment horizontal="left" vertical="top" wrapText="1"/>
    </xf>
    <xf numFmtId="0" fontId="5" fillId="4" borderId="16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left" vertical="top" wrapText="1"/>
    </xf>
    <xf numFmtId="4" fontId="38" fillId="4" borderId="15" xfId="0" applyNumberFormat="1" applyFont="1" applyFill="1" applyBorder="1" applyAlignment="1">
      <alignment vertical="top" wrapText="1"/>
    </xf>
    <xf numFmtId="4" fontId="38" fillId="4" borderId="16" xfId="0" applyNumberFormat="1" applyFont="1" applyFill="1" applyBorder="1" applyAlignment="1">
      <alignment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5" fillId="3" borderId="7" xfId="0" applyFont="1" applyFill="1" applyBorder="1" applyAlignment="1">
      <alignment vertical="top" wrapText="1"/>
    </xf>
    <xf numFmtId="4" fontId="5" fillId="4" borderId="13" xfId="1" applyNumberFormat="1" applyFont="1" applyFill="1" applyBorder="1" applyAlignment="1">
      <alignment vertical="top" wrapText="1"/>
    </xf>
    <xf numFmtId="4" fontId="5" fillId="4" borderId="7" xfId="1" applyNumberFormat="1" applyFont="1" applyFill="1" applyBorder="1" applyAlignment="1">
      <alignment vertical="top" wrapText="1"/>
    </xf>
    <xf numFmtId="0" fontId="5" fillId="3" borderId="15" xfId="0" applyFont="1" applyFill="1" applyBorder="1" applyAlignment="1">
      <alignment horizontal="left" vertical="top" wrapText="1"/>
    </xf>
    <xf numFmtId="0" fontId="5" fillId="3" borderId="16" xfId="0" applyFont="1" applyFill="1" applyBorder="1" applyAlignment="1">
      <alignment horizontal="left" vertical="top" wrapText="1"/>
    </xf>
    <xf numFmtId="0" fontId="5" fillId="3" borderId="13" xfId="0" applyFont="1" applyFill="1" applyBorder="1" applyAlignment="1">
      <alignment horizontal="left" vertical="top" wrapText="1"/>
    </xf>
    <xf numFmtId="0" fontId="30" fillId="4" borderId="7" xfId="0" applyFont="1" applyFill="1" applyBorder="1" applyAlignment="1">
      <alignment vertical="top" wrapText="1"/>
    </xf>
    <xf numFmtId="4" fontId="38" fillId="4" borderId="7" xfId="1" applyNumberFormat="1" applyFont="1" applyFill="1" applyBorder="1" applyAlignment="1">
      <alignment vertical="top" wrapText="1"/>
    </xf>
    <xf numFmtId="0" fontId="5" fillId="3" borderId="15" xfId="0" applyFont="1" applyFill="1" applyBorder="1" applyAlignment="1">
      <alignment vertical="top" wrapText="1"/>
    </xf>
    <xf numFmtId="0" fontId="5" fillId="3" borderId="16" xfId="0" applyFont="1" applyFill="1" applyBorder="1" applyAlignment="1">
      <alignment vertical="top" wrapText="1"/>
    </xf>
    <xf numFmtId="0" fontId="5" fillId="3" borderId="13" xfId="0" applyFont="1" applyFill="1" applyBorder="1" applyAlignment="1">
      <alignment vertical="top" wrapText="1"/>
    </xf>
    <xf numFmtId="0" fontId="40" fillId="4" borderId="8" xfId="0" applyFont="1" applyFill="1" applyBorder="1" applyAlignment="1">
      <alignment horizontal="left" vertical="center"/>
    </xf>
    <xf numFmtId="0" fontId="35" fillId="0" borderId="0" xfId="0" applyFont="1" applyAlignment="1">
      <alignment horizontal="center" wrapText="1"/>
    </xf>
    <xf numFmtId="0" fontId="15" fillId="4" borderId="0" xfId="0" applyFont="1" applyFill="1" applyAlignment="1">
      <alignment horizontal="center"/>
    </xf>
    <xf numFmtId="0" fontId="15" fillId="4" borderId="0" xfId="0" applyFont="1" applyFill="1" applyAlignment="1">
      <alignment horizontal="center" wrapText="1"/>
    </xf>
    <xf numFmtId="0" fontId="16" fillId="4" borderId="15" xfId="0" applyFont="1" applyFill="1" applyBorder="1" applyAlignment="1">
      <alignment horizontal="left" wrapText="1"/>
    </xf>
    <xf numFmtId="0" fontId="16" fillId="4" borderId="16" xfId="0" applyFont="1" applyFill="1" applyBorder="1" applyAlignment="1">
      <alignment horizontal="left" wrapText="1"/>
    </xf>
    <xf numFmtId="0" fontId="16" fillId="4" borderId="13" xfId="0" applyFont="1" applyFill="1" applyBorder="1" applyAlignment="1">
      <alignment horizontal="left" wrapText="1"/>
    </xf>
    <xf numFmtId="16" fontId="16" fillId="4" borderId="15" xfId="0" applyNumberFormat="1" applyFont="1" applyFill="1" applyBorder="1" applyAlignment="1">
      <alignment horizontal="left" wrapText="1"/>
    </xf>
    <xf numFmtId="16" fontId="16" fillId="4" borderId="16" xfId="0" applyNumberFormat="1" applyFont="1" applyFill="1" applyBorder="1" applyAlignment="1">
      <alignment horizontal="left" wrapText="1"/>
    </xf>
    <xf numFmtId="16" fontId="16" fillId="4" borderId="13" xfId="0" applyNumberFormat="1" applyFont="1" applyFill="1" applyBorder="1" applyAlignment="1">
      <alignment horizontal="left" wrapText="1"/>
    </xf>
    <xf numFmtId="0" fontId="8" fillId="4" borderId="7" xfId="0" applyFont="1" applyFill="1" applyBorder="1" applyAlignment="1">
      <alignment horizontal="center" vertical="top" wrapText="1"/>
    </xf>
    <xf numFmtId="0" fontId="15" fillId="4" borderId="18" xfId="0" applyFont="1" applyFill="1" applyBorder="1" applyAlignment="1">
      <alignment horizontal="center" vertical="top" wrapText="1"/>
    </xf>
    <xf numFmtId="0" fontId="15" fillId="4" borderId="0" xfId="0" applyFont="1" applyFill="1" applyBorder="1" applyAlignment="1">
      <alignment horizontal="center" vertical="top" wrapText="1"/>
    </xf>
    <xf numFmtId="0" fontId="29" fillId="4" borderId="15" xfId="0" applyFont="1" applyFill="1" applyBorder="1" applyAlignment="1">
      <alignment horizontal="left"/>
    </xf>
    <xf numFmtId="0" fontId="29" fillId="4" borderId="16" xfId="0" applyFont="1" applyFill="1" applyBorder="1" applyAlignment="1">
      <alignment horizontal="left"/>
    </xf>
    <xf numFmtId="0" fontId="29" fillId="4" borderId="13" xfId="0" applyFont="1" applyFill="1" applyBorder="1" applyAlignment="1">
      <alignment horizontal="left"/>
    </xf>
    <xf numFmtId="0" fontId="22" fillId="4" borderId="15" xfId="0" applyFont="1" applyFill="1" applyBorder="1" applyAlignment="1">
      <alignment horizontal="left" wrapText="1"/>
    </xf>
    <xf numFmtId="0" fontId="22" fillId="4" borderId="16" xfId="0" applyFont="1" applyFill="1" applyBorder="1" applyAlignment="1">
      <alignment horizontal="left" wrapText="1"/>
    </xf>
    <xf numFmtId="0" fontId="22" fillId="4" borderId="13" xfId="0" applyFont="1" applyFill="1" applyBorder="1" applyAlignment="1">
      <alignment horizontal="left" wrapText="1"/>
    </xf>
    <xf numFmtId="0" fontId="28" fillId="4" borderId="15" xfId="0" applyFont="1" applyFill="1" applyBorder="1" applyAlignment="1">
      <alignment horizontal="left"/>
    </xf>
    <xf numFmtId="0" fontId="28" fillId="4" borderId="16" xfId="0" applyFont="1" applyFill="1" applyBorder="1" applyAlignment="1">
      <alignment horizontal="left"/>
    </xf>
    <xf numFmtId="0" fontId="28" fillId="4" borderId="13" xfId="0" applyFont="1" applyFill="1" applyBorder="1" applyAlignment="1">
      <alignment horizontal="left"/>
    </xf>
    <xf numFmtId="0" fontId="33" fillId="4" borderId="15" xfId="0" applyFont="1" applyFill="1" applyBorder="1" applyAlignment="1">
      <alignment horizontal="left" wrapText="1"/>
    </xf>
    <xf numFmtId="0" fontId="33" fillId="4" borderId="16" xfId="0" applyFont="1" applyFill="1" applyBorder="1" applyAlignment="1">
      <alignment horizontal="left" wrapText="1"/>
    </xf>
    <xf numFmtId="0" fontId="33" fillId="4" borderId="13" xfId="0" applyFont="1" applyFill="1" applyBorder="1" applyAlignment="1">
      <alignment horizontal="left" wrapText="1"/>
    </xf>
    <xf numFmtId="0" fontId="34" fillId="4" borderId="15" xfId="0" applyFont="1" applyFill="1" applyBorder="1" applyAlignment="1">
      <alignment horizontal="left" wrapText="1"/>
    </xf>
    <xf numFmtId="0" fontId="34" fillId="4" borderId="16" xfId="0" applyFont="1" applyFill="1" applyBorder="1" applyAlignment="1">
      <alignment horizontal="left" wrapText="1"/>
    </xf>
    <xf numFmtId="0" fontId="34" fillId="4" borderId="13" xfId="0" applyFont="1" applyFill="1" applyBorder="1" applyAlignment="1">
      <alignment horizontal="left" wrapText="1"/>
    </xf>
    <xf numFmtId="0" fontId="34" fillId="4" borderId="15" xfId="0" applyFont="1" applyFill="1" applyBorder="1" applyAlignment="1">
      <alignment horizontal="center" vertical="top" wrapText="1" readingOrder="1"/>
    </xf>
    <xf numFmtId="0" fontId="34" fillId="4" borderId="16" xfId="0" applyFont="1" applyFill="1" applyBorder="1" applyAlignment="1">
      <alignment horizontal="center" vertical="top" wrapText="1" readingOrder="1"/>
    </xf>
    <xf numFmtId="0" fontId="34" fillId="4" borderId="13" xfId="0" applyFont="1" applyFill="1" applyBorder="1" applyAlignment="1">
      <alignment horizontal="center" vertical="top" wrapText="1" readingOrder="1"/>
    </xf>
    <xf numFmtId="16" fontId="32" fillId="4" borderId="15" xfId="0" applyNumberFormat="1" applyFont="1" applyFill="1" applyBorder="1" applyAlignment="1">
      <alignment horizontal="left" wrapText="1"/>
    </xf>
    <xf numFmtId="16" fontId="32" fillId="4" borderId="16" xfId="0" applyNumberFormat="1" applyFont="1" applyFill="1" applyBorder="1" applyAlignment="1">
      <alignment horizontal="left" wrapText="1"/>
    </xf>
    <xf numFmtId="16" fontId="32" fillId="4" borderId="13" xfId="0" applyNumberFormat="1" applyFont="1" applyFill="1" applyBorder="1" applyAlignment="1">
      <alignment horizontal="left" wrapText="1"/>
    </xf>
    <xf numFmtId="0" fontId="6" fillId="4" borderId="7" xfId="0" applyFont="1" applyFill="1" applyBorder="1" applyAlignment="1">
      <alignment horizontal="center" vertical="top" wrapText="1" readingOrder="1"/>
    </xf>
    <xf numFmtId="0" fontId="6" fillId="4" borderId="7" xfId="0" applyFont="1" applyFill="1" applyBorder="1" applyAlignment="1">
      <alignment horizontal="center" vertical="center" wrapText="1" readingOrder="1"/>
    </xf>
    <xf numFmtId="0" fontId="6" fillId="4" borderId="15" xfId="0" applyFont="1" applyFill="1" applyBorder="1" applyAlignment="1">
      <alignment horizontal="center" vertical="center" wrapText="1" readingOrder="1"/>
    </xf>
    <xf numFmtId="0" fontId="6" fillId="4" borderId="13" xfId="0" applyFont="1" applyFill="1" applyBorder="1" applyAlignment="1">
      <alignment horizontal="center" vertical="center" wrapText="1" readingOrder="1"/>
    </xf>
    <xf numFmtId="0" fontId="6" fillId="4" borderId="15" xfId="0" applyFont="1" applyFill="1" applyBorder="1" applyAlignment="1">
      <alignment horizontal="left"/>
    </xf>
    <xf numFmtId="0" fontId="6" fillId="4" borderId="13" xfId="0" applyFont="1" applyFill="1" applyBorder="1" applyAlignment="1">
      <alignment horizontal="left"/>
    </xf>
    <xf numFmtId="0" fontId="4" fillId="4" borderId="15" xfId="0" applyFont="1" applyFill="1" applyBorder="1" applyAlignment="1">
      <alignment horizontal="center" vertical="center" wrapText="1" readingOrder="1"/>
    </xf>
    <xf numFmtId="0" fontId="4" fillId="4" borderId="16" xfId="0" applyFont="1" applyFill="1" applyBorder="1" applyAlignment="1">
      <alignment horizontal="center" vertical="center" wrapText="1" readingOrder="1"/>
    </xf>
    <xf numFmtId="0" fontId="4" fillId="4" borderId="13" xfId="0" applyFont="1" applyFill="1" applyBorder="1" applyAlignment="1">
      <alignment horizontal="center" vertical="center" wrapText="1" readingOrder="1"/>
    </xf>
    <xf numFmtId="0" fontId="4" fillId="4" borderId="18" xfId="0" applyFont="1" applyFill="1" applyBorder="1" applyAlignment="1">
      <alignment horizontal="left" vertical="top" wrapText="1" readingOrder="1"/>
    </xf>
    <xf numFmtId="0" fontId="6" fillId="4" borderId="15" xfId="0" applyFont="1" applyFill="1" applyBorder="1" applyAlignment="1">
      <alignment horizontal="center" vertical="top" wrapText="1" readingOrder="1"/>
    </xf>
    <xf numFmtId="0" fontId="6" fillId="4" borderId="16" xfId="0" applyFont="1" applyFill="1" applyBorder="1" applyAlignment="1">
      <alignment horizontal="center" vertical="top" wrapText="1" readingOrder="1"/>
    </xf>
    <xf numFmtId="0" fontId="6" fillId="4" borderId="13" xfId="0" applyFont="1" applyFill="1" applyBorder="1" applyAlignment="1">
      <alignment horizontal="center" vertical="top" wrapText="1" readingOrder="1"/>
    </xf>
    <xf numFmtId="0" fontId="5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center" vertical="center" wrapText="1" readingOrder="1"/>
    </xf>
    <xf numFmtId="0" fontId="6" fillId="3" borderId="9" xfId="0" applyFont="1" applyFill="1" applyBorder="1" applyAlignment="1">
      <alignment horizontal="center" vertical="center" wrapText="1" readingOrder="1"/>
    </xf>
    <xf numFmtId="0" fontId="22" fillId="4" borderId="0" xfId="0" applyFont="1" applyFill="1" applyAlignment="1">
      <alignment horizontal="center" vertical="top"/>
    </xf>
    <xf numFmtId="0" fontId="5" fillId="4" borderId="23" xfId="0" applyFont="1" applyFill="1" applyBorder="1" applyAlignment="1">
      <alignment vertical="top" wrapText="1"/>
    </xf>
    <xf numFmtId="0" fontId="6" fillId="4" borderId="8" xfId="0" applyFont="1" applyFill="1" applyBorder="1" applyAlignment="1">
      <alignment horizontal="center" vertical="top" wrapText="1" readingOrder="1"/>
    </xf>
    <xf numFmtId="0" fontId="6" fillId="4" borderId="9" xfId="0" applyFont="1" applyFill="1" applyBorder="1" applyAlignment="1">
      <alignment horizontal="center" vertical="top" wrapText="1" readingOrder="1"/>
    </xf>
    <xf numFmtId="0" fontId="6" fillId="4" borderId="0" xfId="0" applyFont="1" applyFill="1" applyAlignment="1">
      <alignment horizontal="left" vertical="center" wrapText="1"/>
    </xf>
    <xf numFmtId="0" fontId="6" fillId="4" borderId="0" xfId="0" applyFont="1" applyFill="1" applyAlignment="1">
      <alignment horizontal="left" vertical="center"/>
    </xf>
    <xf numFmtId="0" fontId="4" fillId="4" borderId="0" xfId="0" applyFont="1" applyFill="1" applyAlignment="1">
      <alignment horizontal="center" vertical="center" readingOrder="1"/>
    </xf>
    <xf numFmtId="0" fontId="6" fillId="4" borderId="8" xfId="0" applyFont="1" applyFill="1" applyBorder="1" applyAlignment="1">
      <alignment horizontal="center" vertical="center" wrapText="1" readingOrder="1"/>
    </xf>
    <xf numFmtId="0" fontId="6" fillId="4" borderId="9" xfId="0" applyFont="1" applyFill="1" applyBorder="1" applyAlignment="1">
      <alignment horizontal="center" vertical="center" wrapText="1" readingOrder="1"/>
    </xf>
    <xf numFmtId="0" fontId="4" fillId="4" borderId="9" xfId="0" applyFont="1" applyFill="1" applyBorder="1" applyAlignment="1">
      <alignment horizontal="right" vertical="top" wrapText="1" readingOrder="1"/>
    </xf>
    <xf numFmtId="0" fontId="4" fillId="4" borderId="0" xfId="0" applyFont="1" applyFill="1" applyAlignment="1">
      <alignment horizontal="center" vertical="center" wrapText="1" readingOrder="1"/>
    </xf>
    <xf numFmtId="0" fontId="21" fillId="4" borderId="0" xfId="0" applyFont="1" applyFill="1" applyAlignment="1">
      <alignment horizontal="center" vertical="center" wrapText="1"/>
    </xf>
    <xf numFmtId="0" fontId="6" fillId="4" borderId="10" xfId="0" applyFont="1" applyFill="1" applyBorder="1" applyAlignment="1">
      <alignment horizontal="left"/>
    </xf>
    <xf numFmtId="0" fontId="6" fillId="4" borderId="0" xfId="0" applyFont="1" applyFill="1" applyAlignment="1">
      <alignment horizontal="left" vertical="center" readingOrder="1"/>
    </xf>
    <xf numFmtId="0" fontId="6" fillId="4" borderId="0" xfId="0" applyFont="1" applyFill="1" applyAlignment="1">
      <alignment horizontal="left" vertical="center" wrapText="1" readingOrder="1"/>
    </xf>
    <xf numFmtId="0" fontId="4" fillId="4" borderId="7" xfId="0" applyFont="1" applyFill="1" applyBorder="1" applyAlignment="1">
      <alignment horizontal="right" vertical="center" wrapText="1" readingOrder="1"/>
    </xf>
    <xf numFmtId="0" fontId="4" fillId="4" borderId="15" xfId="0" applyFont="1" applyFill="1" applyBorder="1" applyAlignment="1">
      <alignment horizontal="left" vertical="center" wrapText="1" readingOrder="1"/>
    </xf>
    <xf numFmtId="0" fontId="4" fillId="4" borderId="13" xfId="0" applyFont="1" applyFill="1" applyBorder="1" applyAlignment="1">
      <alignment horizontal="left" vertical="center" wrapText="1" readingOrder="1"/>
    </xf>
    <xf numFmtId="0" fontId="6" fillId="4" borderId="16" xfId="0" applyFont="1" applyFill="1" applyBorder="1" applyAlignment="1">
      <alignment horizontal="center" vertical="center" wrapText="1" readingOrder="1"/>
    </xf>
    <xf numFmtId="0" fontId="4" fillId="4" borderId="0" xfId="0" applyFont="1" applyFill="1" applyAlignment="1">
      <alignment horizontal="left" vertical="top" wrapText="1"/>
    </xf>
    <xf numFmtId="0" fontId="6" fillId="3" borderId="7" xfId="0" applyFont="1" applyFill="1" applyBorder="1" applyAlignment="1">
      <alignment horizontal="center" vertical="center" wrapText="1" readingOrder="1"/>
    </xf>
    <xf numFmtId="0" fontId="4" fillId="4" borderId="17" xfId="0" applyFont="1" applyFill="1" applyBorder="1" applyAlignment="1">
      <alignment horizontal="center" vertical="center" readingOrder="1"/>
    </xf>
    <xf numFmtId="0" fontId="4" fillId="4" borderId="10" xfId="0" applyFont="1" applyFill="1" applyBorder="1" applyAlignment="1">
      <alignment horizontal="center" vertical="center" readingOrder="1"/>
    </xf>
    <xf numFmtId="0" fontId="4" fillId="4" borderId="14" xfId="0" applyFont="1" applyFill="1" applyBorder="1" applyAlignment="1">
      <alignment horizontal="center" vertical="center" readingOrder="1"/>
    </xf>
    <xf numFmtId="0" fontId="8" fillId="3" borderId="15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3" xfId="0" applyFont="1" applyFill="1" applyBorder="1" applyAlignment="1">
      <alignment horizontal="center"/>
    </xf>
    <xf numFmtId="0" fontId="15" fillId="4" borderId="7" xfId="0" applyFont="1" applyFill="1" applyBorder="1" applyAlignment="1">
      <alignment horizontal="center" vertical="top" wrapText="1"/>
    </xf>
    <xf numFmtId="0" fontId="28" fillId="4" borderId="15" xfId="0" applyFont="1" applyFill="1" applyBorder="1" applyAlignment="1">
      <alignment vertical="top" wrapText="1"/>
    </xf>
    <xf numFmtId="0" fontId="28" fillId="4" borderId="13" xfId="0" applyFont="1" applyFill="1" applyBorder="1" applyAlignment="1">
      <alignment vertical="top" wrapText="1"/>
    </xf>
    <xf numFmtId="4" fontId="6" fillId="3" borderId="8" xfId="0" applyNumberFormat="1" applyFont="1" applyFill="1" applyBorder="1" applyAlignment="1">
      <alignment horizontal="center" vertical="center" wrapText="1" readingOrder="1"/>
    </xf>
    <xf numFmtId="4" fontId="6" fillId="3" borderId="9" xfId="0" applyNumberFormat="1" applyFont="1" applyFill="1" applyBorder="1" applyAlignment="1">
      <alignment horizontal="center" vertical="center" wrapText="1" readingOrder="1"/>
    </xf>
    <xf numFmtId="0" fontId="8" fillId="4" borderId="12" xfId="0" applyFont="1" applyFill="1" applyBorder="1" applyAlignment="1">
      <alignment horizontal="center" vertical="center" wrapText="1" readingOrder="1"/>
    </xf>
    <xf numFmtId="4" fontId="8" fillId="4" borderId="8" xfId="0" applyNumberFormat="1" applyFont="1" applyFill="1" applyBorder="1" applyAlignment="1">
      <alignment horizontal="center" vertical="center" wrapText="1" readingOrder="1"/>
    </xf>
    <xf numFmtId="4" fontId="8" fillId="4" borderId="9" xfId="0" applyNumberFormat="1" applyFont="1" applyFill="1" applyBorder="1" applyAlignment="1">
      <alignment horizontal="center" vertical="center" wrapText="1" readingOrder="1"/>
    </xf>
    <xf numFmtId="4" fontId="8" fillId="4" borderId="12" xfId="0" applyNumberFormat="1" applyFont="1" applyFill="1" applyBorder="1" applyAlignment="1">
      <alignment horizontal="center" vertical="center" wrapText="1" readingOrder="1"/>
    </xf>
    <xf numFmtId="0" fontId="6" fillId="4" borderId="12" xfId="0" applyFont="1" applyFill="1" applyBorder="1" applyAlignment="1">
      <alignment horizontal="center" vertical="top" wrapText="1" readingOrder="1"/>
    </xf>
    <xf numFmtId="0" fontId="8" fillId="4" borderId="15" xfId="0" applyFont="1" applyFill="1" applyBorder="1" applyAlignment="1">
      <alignment horizontal="left" vertical="top" wrapText="1" readingOrder="1"/>
    </xf>
    <xf numFmtId="0" fontId="8" fillId="4" borderId="13" xfId="0" applyFont="1" applyFill="1" applyBorder="1" applyAlignment="1">
      <alignment horizontal="left" vertical="top" wrapText="1" readingOrder="1"/>
    </xf>
    <xf numFmtId="0" fontId="8" fillId="4" borderId="15" xfId="0" applyFont="1" applyFill="1" applyBorder="1" applyAlignment="1">
      <alignment horizontal="left" vertical="top" wrapText="1"/>
    </xf>
    <xf numFmtId="0" fontId="8" fillId="4" borderId="13" xfId="0" applyFont="1" applyFill="1" applyBorder="1" applyAlignment="1">
      <alignment horizontal="left" vertical="top" wrapText="1"/>
    </xf>
    <xf numFmtId="0" fontId="4" fillId="4" borderId="0" xfId="0" applyFont="1" applyFill="1" applyBorder="1" applyAlignment="1">
      <alignment horizontal="left" vertical="top" wrapText="1" readingOrder="1"/>
    </xf>
    <xf numFmtId="0" fontId="6" fillId="4" borderId="28" xfId="0" applyFont="1" applyFill="1" applyBorder="1" applyAlignment="1">
      <alignment horizontal="center" vertical="center" wrapText="1" readingOrder="1"/>
    </xf>
    <xf numFmtId="0" fontId="6" fillId="4" borderId="30" xfId="0" applyFont="1" applyFill="1" applyBorder="1" applyAlignment="1">
      <alignment horizontal="center" vertical="center" wrapText="1" readingOrder="1"/>
    </xf>
    <xf numFmtId="0" fontId="6" fillId="4" borderId="37" xfId="0" applyFont="1" applyFill="1" applyBorder="1" applyAlignment="1">
      <alignment horizontal="center" vertical="center" wrapText="1" readingOrder="1"/>
    </xf>
    <xf numFmtId="0" fontId="6" fillId="4" borderId="39" xfId="0" applyFont="1" applyFill="1" applyBorder="1" applyAlignment="1">
      <alignment horizontal="center" vertical="center" wrapText="1" readingOrder="1"/>
    </xf>
    <xf numFmtId="0" fontId="6" fillId="4" borderId="26" xfId="0" applyFont="1" applyFill="1" applyBorder="1" applyAlignment="1">
      <alignment horizontal="center" vertical="center" wrapText="1" readingOrder="1"/>
    </xf>
    <xf numFmtId="0" fontId="6" fillId="4" borderId="27" xfId="0" applyFont="1" applyFill="1" applyBorder="1" applyAlignment="1">
      <alignment horizontal="center" vertical="center" wrapText="1" readingOrder="1"/>
    </xf>
    <xf numFmtId="0" fontId="4" fillId="4" borderId="15" xfId="0" applyFont="1" applyFill="1" applyBorder="1" applyAlignment="1">
      <alignment horizontal="right" vertical="center" wrapText="1" readingOrder="1"/>
    </xf>
    <xf numFmtId="0" fontId="4" fillId="4" borderId="16" xfId="0" applyFont="1" applyFill="1" applyBorder="1" applyAlignment="1">
      <alignment horizontal="right" vertical="center" wrapText="1" readingOrder="1"/>
    </xf>
    <xf numFmtId="0" fontId="4" fillId="4" borderId="13" xfId="0" applyFont="1" applyFill="1" applyBorder="1" applyAlignment="1">
      <alignment horizontal="right" vertical="center" wrapText="1" readingOrder="1"/>
    </xf>
    <xf numFmtId="0" fontId="4" fillId="4" borderId="18" xfId="0" applyFont="1" applyFill="1" applyBorder="1" applyAlignment="1">
      <alignment horizontal="center" vertical="center" readingOrder="1"/>
    </xf>
    <xf numFmtId="0" fontId="4" fillId="4" borderId="8" xfId="0" applyFont="1" applyFill="1" applyBorder="1" applyAlignment="1">
      <alignment horizontal="right" vertical="top" wrapText="1" readingOrder="1"/>
    </xf>
    <xf numFmtId="4" fontId="6" fillId="3" borderId="38" xfId="0" applyNumberFormat="1" applyFont="1" applyFill="1" applyBorder="1" applyAlignment="1">
      <alignment horizontal="center" vertical="center" wrapText="1" readingOrder="1"/>
    </xf>
    <xf numFmtId="4" fontId="6" fillId="3" borderId="40" xfId="0" applyNumberFormat="1" applyFont="1" applyFill="1" applyBorder="1" applyAlignment="1">
      <alignment horizontal="center" vertical="center" wrapText="1" readingOrder="1"/>
    </xf>
    <xf numFmtId="0" fontId="12" fillId="4" borderId="0" xfId="0" applyFont="1" applyFill="1" applyAlignment="1">
      <alignment horizontal="center" vertical="top" wrapText="1"/>
    </xf>
    <xf numFmtId="0" fontId="12" fillId="4" borderId="0" xfId="0" applyNumberFormat="1" applyFont="1" applyFill="1" applyAlignment="1">
      <alignment horizontal="left" vertical="top" wrapText="1"/>
    </xf>
    <xf numFmtId="4" fontId="6" fillId="4" borderId="7" xfId="0" applyNumberFormat="1" applyFont="1" applyFill="1" applyBorder="1" applyAlignment="1">
      <alignment horizontal="center" vertical="center" wrapText="1" readingOrder="1"/>
    </xf>
    <xf numFmtId="0" fontId="6" fillId="4" borderId="12" xfId="0" applyFont="1" applyFill="1" applyBorder="1" applyAlignment="1">
      <alignment horizontal="center" vertical="center" wrapText="1" readingOrder="1"/>
    </xf>
    <xf numFmtId="0" fontId="6" fillId="0" borderId="0" xfId="0" applyFont="1" applyAlignment="1">
      <alignment horizontal="center"/>
    </xf>
  </cellXfs>
  <cellStyles count="4">
    <cellStyle name="Обычный" xfId="0" builtinId="0"/>
    <cellStyle name="Обычный 2" xfId="2" xr:uid="{00000000-0005-0000-0000-000001000000}"/>
    <cellStyle name="Финансовый" xfId="1" builtinId="3"/>
    <cellStyle name="Хороший" xfId="3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58;&#1040;&#1058;&#1053;&#1067;&#1045;/&#1058;-3-%20&#1084;&#1086;&#1083;&#1086;&#1076;&#1077;&#1078;%20&#1094;&#1077;&#1085;&#1090;&#1088;-%2001.06.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8;&#1091;&#1095;&#1080;&#1085;&#1080;&#1085;&#1072;/&#1072;&#1088;&#1093;&#1080;&#1074;&#1095;&#1080;&#1082;/&#1052;&#1062;/&#1056;&#1072;&#1089;&#1095;&#1077;&#1090;%20&#1087;&#1086;%20&#1052;&#1062;%202017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 (2)"/>
      <sheetName val="2016 (2)"/>
      <sheetName val="2016"/>
      <sheetName val="стр1"/>
      <sheetName val="Лист1"/>
      <sheetName val="фонд"/>
      <sheetName val="Лист2"/>
    </sheetNames>
    <sheetDataSet>
      <sheetData sheetId="0"/>
      <sheetData sheetId="1"/>
      <sheetData sheetId="2">
        <row r="17">
          <cell r="AE17" t="str">
            <v>Директор МЦ</v>
          </cell>
        </row>
        <row r="19">
          <cell r="AE19" t="str">
            <v>Специалист по работе с молодежью</v>
          </cell>
        </row>
        <row r="25">
          <cell r="AE25" t="str">
            <v>Водитель</v>
          </cell>
        </row>
        <row r="26">
          <cell r="AE26" t="str">
            <v xml:space="preserve">Уборщик служебных помещений 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4"/>
      <sheetName val="73"/>
      <sheetName val="72"/>
      <sheetName val="S"/>
      <sheetName val="4560"/>
      <sheetName val="СВОД"/>
      <sheetName val="211"/>
      <sheetName val="льгот"/>
      <sheetName val="ком"/>
      <sheetName val="тран"/>
      <sheetName val="связ"/>
      <sheetName val="223"/>
      <sheetName val="290+226+225"/>
      <sheetName val="310"/>
      <sheetName val="340"/>
      <sheetName val="расч годов фонд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5">
          <cell r="D15" t="str">
            <v>Заведуюший</v>
          </cell>
          <cell r="E15">
            <v>1</v>
          </cell>
          <cell r="AD15">
            <v>86169</v>
          </cell>
        </row>
        <row r="16">
          <cell r="D16" t="str">
            <v>Ведущий специалист по работе с молодежью</v>
          </cell>
          <cell r="E16">
            <v>1</v>
          </cell>
          <cell r="AD16">
            <v>36443</v>
          </cell>
        </row>
        <row r="17">
          <cell r="D17" t="str">
            <v>Специалист по работе с молодежью, 1 кв. уровень</v>
          </cell>
          <cell r="E17">
            <v>4.5999999999999996</v>
          </cell>
          <cell r="AD17">
            <v>32495</v>
          </cell>
        </row>
        <row r="18">
          <cell r="D18" t="str">
            <v>Водитель автомобиля, 1 кв. уровень</v>
          </cell>
          <cell r="E18">
            <v>1</v>
          </cell>
          <cell r="AD18">
            <v>23375</v>
          </cell>
        </row>
        <row r="19">
          <cell r="D19" t="str">
            <v>Рабочий по комплексному обслуживанию здания</v>
          </cell>
          <cell r="E19">
            <v>0.5</v>
          </cell>
          <cell r="AD19">
            <v>20711</v>
          </cell>
        </row>
        <row r="20">
          <cell r="D20" t="str">
            <v>Уборщик служебных помещений, 1 кв. уровень</v>
          </cell>
          <cell r="E20">
            <v>1</v>
          </cell>
          <cell r="AD20">
            <v>17458</v>
          </cell>
        </row>
        <row r="21">
          <cell r="D21" t="str">
            <v xml:space="preserve">Сторож, 1 кв. уровень </v>
          </cell>
          <cell r="E21">
            <v>3</v>
          </cell>
          <cell r="AD21">
            <v>19510</v>
          </cell>
        </row>
        <row r="22">
          <cell r="D22">
            <v>19510</v>
          </cell>
          <cell r="E22">
            <v>12.1</v>
          </cell>
          <cell r="AD22">
            <v>236161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5"/>
  <sheetViews>
    <sheetView zoomScale="80" zoomScaleNormal="80" workbookViewId="0">
      <selection activeCell="J6" sqref="J6"/>
    </sheetView>
  </sheetViews>
  <sheetFormatPr defaultColWidth="9.125" defaultRowHeight="15" x14ac:dyDescent="0.25"/>
  <cols>
    <col min="1" max="1" width="23.75" style="38" customWidth="1"/>
    <col min="2" max="3" width="22.625" style="38" customWidth="1"/>
    <col min="4" max="4" width="14.25" style="38" customWidth="1"/>
    <col min="5" max="5" width="13.125" style="38" customWidth="1"/>
    <col min="6" max="6" width="15.125" style="38" customWidth="1"/>
    <col min="7" max="7" width="11.875" style="38" customWidth="1"/>
    <col min="8" max="8" width="12.75" style="38" customWidth="1"/>
    <col min="9" max="9" width="16.625" style="38" customWidth="1"/>
    <col min="10" max="10" width="13.125" style="38" customWidth="1"/>
    <col min="11" max="11" width="23.875" style="38" customWidth="1"/>
    <col min="12" max="13" width="9.125" style="38"/>
    <col min="14" max="14" width="21.25" style="38" customWidth="1"/>
    <col min="15" max="15" width="16.75" style="38" customWidth="1"/>
    <col min="16" max="16" width="13.75" style="38" customWidth="1"/>
    <col min="17" max="16384" width="9.125" style="38"/>
  </cols>
  <sheetData>
    <row r="1" spans="1:16" x14ac:dyDescent="0.25">
      <c r="A1" s="45"/>
      <c r="B1" s="45"/>
      <c r="C1" s="45"/>
      <c r="D1" s="45"/>
      <c r="E1" s="45"/>
      <c r="F1" s="45"/>
      <c r="G1" s="45"/>
      <c r="H1" s="45"/>
      <c r="I1" s="600" t="s">
        <v>317</v>
      </c>
      <c r="J1" s="600"/>
      <c r="K1" s="45"/>
    </row>
    <row r="2" spans="1:16" ht="105" customHeight="1" x14ac:dyDescent="0.25">
      <c r="A2" s="45"/>
      <c r="B2" s="45"/>
      <c r="C2" s="45"/>
      <c r="D2" s="45"/>
      <c r="E2" s="45"/>
      <c r="F2" s="45"/>
      <c r="G2" s="45"/>
      <c r="H2" s="45"/>
      <c r="I2" s="601" t="s">
        <v>533</v>
      </c>
      <c r="J2" s="601"/>
      <c r="K2" s="601"/>
      <c r="L2" s="164"/>
      <c r="M2" s="164"/>
    </row>
    <row r="3" spans="1:16" ht="30" x14ac:dyDescent="0.25">
      <c r="A3" s="187" t="s">
        <v>211</v>
      </c>
      <c r="B3" s="602" t="str">
        <f>'инновации+добровольчество0,3664'!B3:H3</f>
        <v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v>
      </c>
      <c r="C3" s="602"/>
      <c r="D3" s="602"/>
      <c r="E3" s="602"/>
      <c r="F3" s="602"/>
      <c r="G3" s="602"/>
      <c r="H3" s="602"/>
      <c r="I3" s="602"/>
      <c r="J3" s="602"/>
      <c r="K3" s="602"/>
    </row>
    <row r="4" spans="1:16" x14ac:dyDescent="0.25">
      <c r="A4" s="45"/>
      <c r="B4" s="603"/>
      <c r="C4" s="603"/>
      <c r="D4" s="603"/>
      <c r="E4" s="603"/>
      <c r="F4" s="603"/>
      <c r="G4" s="603"/>
      <c r="H4" s="603"/>
      <c r="I4" s="603"/>
      <c r="J4" s="603"/>
      <c r="K4" s="603"/>
    </row>
    <row r="5" spans="1:16" ht="15" customHeight="1" x14ac:dyDescent="0.25">
      <c r="A5" s="604" t="s">
        <v>85</v>
      </c>
      <c r="B5" s="605"/>
      <c r="C5" s="605"/>
      <c r="D5" s="604" t="s">
        <v>32</v>
      </c>
      <c r="E5" s="596"/>
      <c r="F5" s="596"/>
      <c r="G5" s="596"/>
      <c r="H5" s="596"/>
      <c r="I5" s="596"/>
      <c r="J5" s="597"/>
      <c r="K5" s="598" t="s">
        <v>33</v>
      </c>
    </row>
    <row r="6" spans="1:16" ht="120" customHeight="1" x14ac:dyDescent="0.25">
      <c r="A6" s="188" t="s">
        <v>94</v>
      </c>
      <c r="B6" s="189" t="s">
        <v>95</v>
      </c>
      <c r="C6" s="189" t="s">
        <v>96</v>
      </c>
      <c r="D6" s="190" t="s">
        <v>97</v>
      </c>
      <c r="E6" s="191" t="s">
        <v>98</v>
      </c>
      <c r="F6" s="192" t="s">
        <v>103</v>
      </c>
      <c r="G6" s="193" t="s">
        <v>99</v>
      </c>
      <c r="H6" s="193" t="s">
        <v>102</v>
      </c>
      <c r="I6" s="193" t="s">
        <v>100</v>
      </c>
      <c r="J6" s="193" t="s">
        <v>101</v>
      </c>
      <c r="K6" s="599"/>
    </row>
    <row r="7" spans="1:16" x14ac:dyDescent="0.25">
      <c r="A7" s="194">
        <v>1</v>
      </c>
      <c r="B7" s="194">
        <v>2</v>
      </c>
      <c r="C7" s="194">
        <v>3</v>
      </c>
      <c r="D7" s="195">
        <v>4</v>
      </c>
      <c r="E7" s="196">
        <v>5</v>
      </c>
      <c r="F7" s="196">
        <v>6</v>
      </c>
      <c r="G7" s="196">
        <v>7</v>
      </c>
      <c r="H7" s="196">
        <v>8</v>
      </c>
      <c r="I7" s="196">
        <v>9</v>
      </c>
      <c r="J7" s="196">
        <v>10</v>
      </c>
      <c r="K7" s="197">
        <v>11</v>
      </c>
      <c r="N7" s="39"/>
    </row>
    <row r="8" spans="1:16" x14ac:dyDescent="0.25">
      <c r="A8" s="416">
        <f>'инновации+добровольчество0,3664'!I27</f>
        <v>2098984.7102492163</v>
      </c>
      <c r="B8" s="416">
        <f>'инновации+добровольчество0,3664'!G56</f>
        <v>139671.68137599999</v>
      </c>
      <c r="C8" s="416">
        <f>'инновации+добровольчество0,3664'!G151</f>
        <v>397000</v>
      </c>
      <c r="D8" s="417">
        <f>'инновации+добровольчество0,3664'!F195</f>
        <v>126019.623488</v>
      </c>
      <c r="E8" s="418">
        <f>'инновации+добровольчество0,3664'!F263</f>
        <v>209892.24000000005</v>
      </c>
      <c r="F8" s="5">
        <v>0</v>
      </c>
      <c r="G8" s="418">
        <f>'инновации+добровольчество0,3664'!G215</f>
        <v>84374.586400000015</v>
      </c>
      <c r="H8" s="418">
        <f>'инновации+добровольчество0,3664'!G223</f>
        <v>20152</v>
      </c>
      <c r="I8" s="418">
        <f>'инновации+добровольчество0,3664'!I164+'инновации+добровольчество0,3664'!F175</f>
        <v>1106729.64572944</v>
      </c>
      <c r="J8" s="5">
        <f>'инновации+добровольчество0,3664'!G181+'инновации+добровольчество0,3664'!F521</f>
        <v>229706.23500800005</v>
      </c>
      <c r="K8" s="198">
        <f>SUM(A8:J8)</f>
        <v>4412530.7222506572</v>
      </c>
    </row>
    <row r="9" spans="1:16" x14ac:dyDescent="0.25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</row>
    <row r="10" spans="1:16" ht="39" customHeight="1" x14ac:dyDescent="0.25">
      <c r="A10" s="199" t="s">
        <v>212</v>
      </c>
      <c r="B10" s="602" t="str">
        <f>'патриотика0,3664'!B3</f>
        <v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v>
      </c>
      <c r="C10" s="602"/>
      <c r="D10" s="602"/>
      <c r="E10" s="602"/>
      <c r="F10" s="602"/>
      <c r="G10" s="602"/>
      <c r="H10" s="602"/>
      <c r="I10" s="602"/>
      <c r="J10" s="602"/>
      <c r="K10" s="602"/>
      <c r="N10" s="186" t="s">
        <v>179</v>
      </c>
      <c r="O10" s="200">
        <f>K8+K15+K23</f>
        <v>12919117.907540003</v>
      </c>
      <c r="P10" s="39">
        <v>12919117.91</v>
      </c>
    </row>
    <row r="11" spans="1:16" x14ac:dyDescent="0.25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N11" s="38" t="s">
        <v>168</v>
      </c>
      <c r="O11" s="39">
        <f>P10-O10</f>
        <v>2.4599973112344742E-3</v>
      </c>
      <c r="P11" s="39"/>
    </row>
    <row r="12" spans="1:16" ht="45" customHeight="1" x14ac:dyDescent="0.25">
      <c r="A12" s="604" t="s">
        <v>85</v>
      </c>
      <c r="B12" s="605"/>
      <c r="C12" s="605"/>
      <c r="D12" s="604" t="s">
        <v>32</v>
      </c>
      <c r="E12" s="596"/>
      <c r="F12" s="596"/>
      <c r="G12" s="596"/>
      <c r="H12" s="596"/>
      <c r="I12" s="596"/>
      <c r="J12" s="597"/>
      <c r="K12" s="598" t="s">
        <v>33</v>
      </c>
      <c r="P12" s="39"/>
    </row>
    <row r="13" spans="1:16" ht="85.15" customHeight="1" x14ac:dyDescent="0.25">
      <c r="A13" s="188" t="s">
        <v>94</v>
      </c>
      <c r="B13" s="189" t="s">
        <v>95</v>
      </c>
      <c r="C13" s="189" t="s">
        <v>96</v>
      </c>
      <c r="D13" s="190" t="s">
        <v>97</v>
      </c>
      <c r="E13" s="191" t="s">
        <v>98</v>
      </c>
      <c r="F13" s="192" t="s">
        <v>103</v>
      </c>
      <c r="G13" s="193" t="s">
        <v>99</v>
      </c>
      <c r="H13" s="193" t="s">
        <v>102</v>
      </c>
      <c r="I13" s="193" t="s">
        <v>100</v>
      </c>
      <c r="J13" s="193" t="s">
        <v>101</v>
      </c>
      <c r="K13" s="599"/>
      <c r="P13" s="39"/>
    </row>
    <row r="14" spans="1:16" x14ac:dyDescent="0.25">
      <c r="A14" s="201">
        <v>1</v>
      </c>
      <c r="B14" s="201">
        <v>2</v>
      </c>
      <c r="C14" s="201">
        <v>3</v>
      </c>
      <c r="D14" s="202">
        <v>4</v>
      </c>
      <c r="E14" s="196">
        <v>6</v>
      </c>
      <c r="F14" s="196">
        <v>7</v>
      </c>
      <c r="G14" s="196">
        <v>8</v>
      </c>
      <c r="H14" s="196">
        <v>9</v>
      </c>
      <c r="I14" s="196">
        <v>10</v>
      </c>
      <c r="J14" s="196">
        <v>11</v>
      </c>
      <c r="K14" s="197">
        <v>12</v>
      </c>
    </row>
    <row r="15" spans="1:16" x14ac:dyDescent="0.25">
      <c r="A15" s="416">
        <f>'патриотика0,3664'!I26</f>
        <v>2098984.7102492163</v>
      </c>
      <c r="B15" s="416">
        <f>'патриотика0,3664'!G223</f>
        <v>139671.68137599999</v>
      </c>
      <c r="C15" s="416">
        <f>'патриотика0,3664'!G155</f>
        <v>999900</v>
      </c>
      <c r="D15" s="417">
        <f>'патриотика0,3664'!F204</f>
        <v>126019.623488</v>
      </c>
      <c r="E15" s="418">
        <f>'патриотика0,3664'!F281</f>
        <v>209892.24000000005</v>
      </c>
      <c r="F15" s="5">
        <v>0</v>
      </c>
      <c r="G15" s="418">
        <f>'патриотика0,3664'!G234</f>
        <v>84374.586400000015</v>
      </c>
      <c r="H15" s="418">
        <f>'патриотика0,3664'!G242</f>
        <v>20152</v>
      </c>
      <c r="I15" s="418">
        <f>'патриотика0,3664'!I170+'патриотика0,3664'!F180</f>
        <v>1106729.64572944</v>
      </c>
      <c r="J15" s="5">
        <f>'патриотика0,3664'!G210+'патриотика0,3664'!F534</f>
        <v>229706.23500800005</v>
      </c>
      <c r="K15" s="198">
        <f>SUM(A15:J15)</f>
        <v>5015430.7222506572</v>
      </c>
      <c r="N15" s="39"/>
    </row>
    <row r="16" spans="1:16" ht="12.6" customHeight="1" x14ac:dyDescent="0.25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</row>
    <row r="17" spans="1:14" hidden="1" x14ac:dyDescent="0.25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</row>
    <row r="18" spans="1:14" ht="53.45" customHeight="1" x14ac:dyDescent="0.25">
      <c r="A18" s="199" t="s">
        <v>212</v>
      </c>
      <c r="B18" s="602" t="str">
        <f>'таланты+инициативы0,2672'!B3</f>
        <v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v>
      </c>
      <c r="C18" s="602"/>
      <c r="D18" s="602"/>
      <c r="E18" s="602"/>
      <c r="F18" s="602"/>
      <c r="G18" s="602"/>
      <c r="H18" s="602"/>
      <c r="I18" s="602"/>
      <c r="J18" s="602"/>
      <c r="K18" s="602"/>
    </row>
    <row r="19" spans="1:14" x14ac:dyDescent="0.25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4" ht="46.9" customHeight="1" x14ac:dyDescent="0.25">
      <c r="A20" s="593" t="s">
        <v>42</v>
      </c>
      <c r="B20" s="594"/>
      <c r="C20" s="594"/>
      <c r="D20" s="595" t="s">
        <v>32</v>
      </c>
      <c r="E20" s="596"/>
      <c r="F20" s="596"/>
      <c r="G20" s="596"/>
      <c r="H20" s="596"/>
      <c r="I20" s="596"/>
      <c r="J20" s="597"/>
      <c r="K20" s="598" t="s">
        <v>33</v>
      </c>
    </row>
    <row r="21" spans="1:14" ht="84" customHeight="1" x14ac:dyDescent="0.25">
      <c r="A21" s="192" t="s">
        <v>94</v>
      </c>
      <c r="B21" s="192" t="s">
        <v>95</v>
      </c>
      <c r="C21" s="192" t="s">
        <v>96</v>
      </c>
      <c r="D21" s="203" t="s">
        <v>97</v>
      </c>
      <c r="E21" s="204" t="s">
        <v>98</v>
      </c>
      <c r="F21" s="192" t="s">
        <v>103</v>
      </c>
      <c r="G21" s="205" t="s">
        <v>99</v>
      </c>
      <c r="H21" s="205" t="s">
        <v>102</v>
      </c>
      <c r="I21" s="205" t="s">
        <v>100</v>
      </c>
      <c r="J21" s="205" t="s">
        <v>101</v>
      </c>
      <c r="K21" s="599"/>
    </row>
    <row r="22" spans="1:14" x14ac:dyDescent="0.25">
      <c r="A22" s="201">
        <v>1</v>
      </c>
      <c r="B22" s="201">
        <v>2</v>
      </c>
      <c r="C22" s="201">
        <v>3</v>
      </c>
      <c r="D22" s="195">
        <v>5</v>
      </c>
      <c r="E22" s="196">
        <v>6</v>
      </c>
      <c r="F22" s="196">
        <v>7</v>
      </c>
      <c r="G22" s="196">
        <v>8</v>
      </c>
      <c r="H22" s="196">
        <v>9</v>
      </c>
      <c r="I22" s="196">
        <v>10</v>
      </c>
      <c r="J22" s="196">
        <v>11</v>
      </c>
      <c r="K22" s="197">
        <v>12</v>
      </c>
    </row>
    <row r="23" spans="1:14" x14ac:dyDescent="0.25">
      <c r="A23" s="416">
        <f>'таланты+инициативы0,2672'!I26</f>
        <v>1530700.6449415684</v>
      </c>
      <c r="B23" s="416">
        <f>'таланты+инициативы0,2672'!G167</f>
        <v>101856.637248</v>
      </c>
      <c r="C23" s="416">
        <f>'таланты+инициативы0,2672'!F105</f>
        <v>562800</v>
      </c>
      <c r="D23" s="417">
        <f>'таланты+инициативы0,2672'!F152</f>
        <v>91900.763024000014</v>
      </c>
      <c r="E23" s="418">
        <f>'таланты+инициативы0,2672'!F214+0.02</f>
        <v>153065.53999999998</v>
      </c>
      <c r="F23" s="5">
        <v>0</v>
      </c>
      <c r="G23" s="418">
        <f>'таланты+инициативы0,2672'!G178</f>
        <v>61530.817200000005</v>
      </c>
      <c r="H23" s="418">
        <f>'таланты+инициативы0,2672'!G186</f>
        <v>14696</v>
      </c>
      <c r="I23" s="418">
        <f>'таланты+инициативы0,2672'!I127+'таланты+инициативы0,2672'!F138</f>
        <v>807091.03064112016</v>
      </c>
      <c r="J23" s="5">
        <f>'таланты+инициативы0,2672'!G157+'таланты+инициативы0,2672'!F467</f>
        <v>167515.02998399999</v>
      </c>
      <c r="K23" s="198">
        <f>SUM(A23:J23)</f>
        <v>3491156.4630386885</v>
      </c>
      <c r="N23" s="39"/>
    </row>
    <row r="24" spans="1:14" x14ac:dyDescent="0.25">
      <c r="A24" s="45"/>
      <c r="B24" s="45"/>
      <c r="C24" s="45"/>
      <c r="D24" s="180"/>
      <c r="E24" s="45"/>
      <c r="F24" s="45"/>
      <c r="G24" s="45"/>
      <c r="H24" s="45"/>
      <c r="I24" s="45"/>
      <c r="J24" s="45"/>
      <c r="K24" s="45"/>
    </row>
    <row r="26" spans="1:14" x14ac:dyDescent="0.25">
      <c r="B26" s="200"/>
    </row>
    <row r="27" spans="1:14" x14ac:dyDescent="0.25">
      <c r="K27" s="39"/>
    </row>
    <row r="28" spans="1:14" x14ac:dyDescent="0.25">
      <c r="B28" s="39"/>
    </row>
    <row r="29" spans="1:14" x14ac:dyDescent="0.25">
      <c r="A29" s="39"/>
    </row>
    <row r="30" spans="1:14" x14ac:dyDescent="0.25">
      <c r="A30" s="39"/>
      <c r="K30" s="39"/>
    </row>
    <row r="31" spans="1:14" x14ac:dyDescent="0.25">
      <c r="K31" s="39"/>
    </row>
    <row r="32" spans="1:14" x14ac:dyDescent="0.25">
      <c r="K32" s="39"/>
    </row>
    <row r="33" spans="11:11" x14ac:dyDescent="0.25">
      <c r="K33" s="39"/>
    </row>
    <row r="34" spans="11:11" x14ac:dyDescent="0.25">
      <c r="K34" s="39"/>
    </row>
    <row r="35" spans="11:11" x14ac:dyDescent="0.25">
      <c r="K35" s="39"/>
    </row>
  </sheetData>
  <mergeCells count="14">
    <mergeCell ref="A20:C20"/>
    <mergeCell ref="D20:J20"/>
    <mergeCell ref="K20:K21"/>
    <mergeCell ref="I1:J1"/>
    <mergeCell ref="I2:K2"/>
    <mergeCell ref="B3:K4"/>
    <mergeCell ref="A5:C5"/>
    <mergeCell ref="D5:J5"/>
    <mergeCell ref="K5:K6"/>
    <mergeCell ref="B10:K10"/>
    <mergeCell ref="A12:C12"/>
    <mergeCell ref="D12:J12"/>
    <mergeCell ref="K12:K13"/>
    <mergeCell ref="B18:K18"/>
  </mergeCells>
  <printOptions horizontalCentered="1" verticalCentered="1"/>
  <pageMargins left="0.31496062992125984" right="0.31496062992125984" top="0.35433070866141736" bottom="0.35433070866141736" header="0" footer="0"/>
  <pageSetup paperSize="9" scale="6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F442"/>
  <sheetViews>
    <sheetView workbookViewId="0">
      <selection activeCell="A7" sqref="A7:A401"/>
    </sheetView>
  </sheetViews>
  <sheetFormatPr defaultRowHeight="15" x14ac:dyDescent="0.25"/>
  <cols>
    <col min="1" max="1" width="31.75" style="573" customWidth="1"/>
    <col min="2" max="2" width="25.75" style="573" customWidth="1"/>
    <col min="3" max="3" width="41.875" style="573" customWidth="1"/>
    <col min="4" max="4" width="15.125" style="573" customWidth="1"/>
    <col min="5" max="5" width="41.5" style="573" customWidth="1"/>
    <col min="6" max="16384" width="9" style="573"/>
  </cols>
  <sheetData>
    <row r="1" spans="1:6" ht="108" customHeight="1" x14ac:dyDescent="0.25">
      <c r="D1" s="629" t="s">
        <v>535</v>
      </c>
      <c r="E1" s="629"/>
      <c r="F1" s="139"/>
    </row>
    <row r="3" spans="1:6" x14ac:dyDescent="0.25">
      <c r="A3" s="630" t="s">
        <v>126</v>
      </c>
      <c r="B3" s="630"/>
      <c r="C3" s="630"/>
      <c r="D3" s="630"/>
      <c r="E3" s="630"/>
    </row>
    <row r="4" spans="1:6" ht="35.450000000000003" customHeight="1" x14ac:dyDescent="0.25">
      <c r="A4" s="631" t="s">
        <v>150</v>
      </c>
      <c r="B4" s="631"/>
      <c r="C4" s="631"/>
      <c r="D4" s="631"/>
      <c r="E4" s="631"/>
    </row>
    <row r="5" spans="1:6" ht="60" x14ac:dyDescent="0.25">
      <c r="A5" s="101" t="s">
        <v>127</v>
      </c>
      <c r="B5" s="102" t="s">
        <v>128</v>
      </c>
      <c r="C5" s="101" t="s">
        <v>129</v>
      </c>
      <c r="D5" s="101" t="s">
        <v>130</v>
      </c>
      <c r="E5" s="101" t="s">
        <v>131</v>
      </c>
    </row>
    <row r="6" spans="1:6" x14ac:dyDescent="0.25">
      <c r="A6" s="103">
        <v>1</v>
      </c>
      <c r="B6" s="103">
        <v>2</v>
      </c>
      <c r="C6" s="103">
        <v>3</v>
      </c>
      <c r="D6" s="103">
        <v>4</v>
      </c>
      <c r="E6" s="103">
        <v>5</v>
      </c>
    </row>
    <row r="7" spans="1:6" ht="37.15" customHeight="1" x14ac:dyDescent="0.25">
      <c r="A7" s="613" t="s">
        <v>50</v>
      </c>
      <c r="B7" s="612" t="s">
        <v>151</v>
      </c>
      <c r="C7" s="632" t="s">
        <v>132</v>
      </c>
      <c r="D7" s="633"/>
      <c r="E7" s="634"/>
    </row>
    <row r="8" spans="1:6" ht="14.45" customHeight="1" x14ac:dyDescent="0.25">
      <c r="A8" s="613"/>
      <c r="B8" s="612"/>
      <c r="C8" s="635" t="s">
        <v>133</v>
      </c>
      <c r="D8" s="636"/>
      <c r="E8" s="637"/>
    </row>
    <row r="9" spans="1:6" ht="15" customHeight="1" x14ac:dyDescent="0.25">
      <c r="A9" s="613"/>
      <c r="B9" s="612"/>
      <c r="C9" s="106" t="s">
        <v>140</v>
      </c>
      <c r="D9" s="105" t="s">
        <v>134</v>
      </c>
      <c r="E9" s="228">
        <f>'инновации+добровольчество0,3664'!D26</f>
        <v>2.0518399999999999</v>
      </c>
    </row>
    <row r="10" spans="1:6" ht="15" customHeight="1" x14ac:dyDescent="0.25">
      <c r="A10" s="613"/>
      <c r="B10" s="612"/>
      <c r="C10" s="106" t="s">
        <v>93</v>
      </c>
      <c r="D10" s="104" t="s">
        <v>134</v>
      </c>
      <c r="E10" s="229">
        <f>'инновации+добровольчество0,3664'!D25</f>
        <v>0.3664</v>
      </c>
    </row>
    <row r="11" spans="1:6" ht="13.9" customHeight="1" x14ac:dyDescent="0.25">
      <c r="A11" s="613"/>
      <c r="B11" s="612"/>
      <c r="C11" s="626" t="s">
        <v>144</v>
      </c>
      <c r="D11" s="627"/>
      <c r="E11" s="628"/>
    </row>
    <row r="12" spans="1:6" ht="40.15" customHeight="1" x14ac:dyDescent="0.25">
      <c r="A12" s="613"/>
      <c r="B12" s="612"/>
      <c r="C12" s="117" t="s">
        <v>196</v>
      </c>
      <c r="D12" s="498" t="s">
        <v>39</v>
      </c>
      <c r="E12" s="223">
        <f>'инновации+добровольчество0,3664'!E53</f>
        <v>31.143999999999998</v>
      </c>
    </row>
    <row r="13" spans="1:6" ht="25.15" customHeight="1" x14ac:dyDescent="0.25">
      <c r="A13" s="613"/>
      <c r="B13" s="612"/>
      <c r="C13" s="117" t="s">
        <v>197</v>
      </c>
      <c r="D13" s="498" t="s">
        <v>39</v>
      </c>
      <c r="E13" s="223">
        <f>'инновации+добровольчество0,3664'!E54</f>
        <v>12.457599999999999</v>
      </c>
    </row>
    <row r="14" spans="1:6" ht="21" customHeight="1" x14ac:dyDescent="0.25">
      <c r="A14" s="613"/>
      <c r="B14" s="612"/>
      <c r="C14" s="117" t="s">
        <v>198</v>
      </c>
      <c r="D14" s="498" t="s">
        <v>39</v>
      </c>
      <c r="E14" s="223">
        <f>'инновации+добровольчество0,3664'!E55</f>
        <v>18.686399999999999</v>
      </c>
    </row>
    <row r="15" spans="1:6" ht="32.25" customHeight="1" x14ac:dyDescent="0.25">
      <c r="A15" s="613"/>
      <c r="B15" s="612"/>
      <c r="C15" s="614" t="s">
        <v>145</v>
      </c>
      <c r="D15" s="615"/>
      <c r="E15" s="616"/>
    </row>
    <row r="16" spans="1:6" ht="32.25" customHeight="1" x14ac:dyDescent="0.25">
      <c r="A16" s="613"/>
      <c r="B16" s="612"/>
      <c r="C16" s="574" t="str">
        <f>'инновации+добровольчество0,3664'!A63</f>
        <v>уличная ткань оксфорд хаки</v>
      </c>
      <c r="D16" s="498" t="str">
        <f>'инновации+добровольчество0,3664'!D100</f>
        <v>шт</v>
      </c>
      <c r="E16" s="575">
        <f>'инновации+добровольчество0,3664'!E63</f>
        <v>10</v>
      </c>
    </row>
    <row r="17" spans="1:5" ht="32.25" customHeight="1" x14ac:dyDescent="0.25">
      <c r="A17" s="613"/>
      <c r="B17" s="612"/>
      <c r="C17" s="574" t="str">
        <f>'инновации+добровольчество0,3664'!A64</f>
        <v>уличная ткань оксфорд коричневый</v>
      </c>
      <c r="D17" s="498" t="str">
        <f>'инновации+добровольчество0,3664'!D101</f>
        <v>шт</v>
      </c>
      <c r="E17" s="575">
        <f>'инновации+добровольчество0,3664'!E64</f>
        <v>10</v>
      </c>
    </row>
    <row r="18" spans="1:5" ht="32.25" customHeight="1" x14ac:dyDescent="0.25">
      <c r="A18" s="613"/>
      <c r="B18" s="612"/>
      <c r="C18" s="574" t="str">
        <f>'инновации+добровольчество0,3664'!A65</f>
        <v>уличная ткань оксфорд черный</v>
      </c>
      <c r="D18" s="498" t="str">
        <f>'инновации+добровольчество0,3664'!D102</f>
        <v>шт</v>
      </c>
      <c r="E18" s="575">
        <f>'инновации+добровольчество0,3664'!E65</f>
        <v>1</v>
      </c>
    </row>
    <row r="19" spans="1:5" ht="32.25" customHeight="1" x14ac:dyDescent="0.25">
      <c r="A19" s="613"/>
      <c r="B19" s="612"/>
      <c r="C19" s="574" t="str">
        <f>'инновации+добровольчество0,3664'!A66</f>
        <v xml:space="preserve">шнур хозяйственный </v>
      </c>
      <c r="D19" s="498" t="str">
        <f>'инновации+добровольчество0,3664'!D103</f>
        <v>шт</v>
      </c>
      <c r="E19" s="575">
        <f>'инновации+добровольчество0,3664'!E66</f>
        <v>100</v>
      </c>
    </row>
    <row r="20" spans="1:5" ht="32.25" customHeight="1" x14ac:dyDescent="0.25">
      <c r="A20" s="613"/>
      <c r="B20" s="612"/>
      <c r="C20" s="574" t="str">
        <f>'инновации+добровольчество0,3664'!A67</f>
        <v>полог брезентовый</v>
      </c>
      <c r="D20" s="498" t="str">
        <f>'инновации+добровольчество0,3664'!D104</f>
        <v>шт</v>
      </c>
      <c r="E20" s="575">
        <f>'инновации+добровольчество0,3664'!E67</f>
        <v>1</v>
      </c>
    </row>
    <row r="21" spans="1:5" ht="32.25" customHeight="1" x14ac:dyDescent="0.25">
      <c r="A21" s="613"/>
      <c r="B21" s="612"/>
      <c r="C21" s="574" t="str">
        <f>'инновации+добровольчество0,3664'!A68</f>
        <v>брезент отрез</v>
      </c>
      <c r="D21" s="498" t="str">
        <f>'инновации+добровольчество0,3664'!D105</f>
        <v>шт</v>
      </c>
      <c r="E21" s="575">
        <f>'инновации+добровольчество0,3664'!E68</f>
        <v>20</v>
      </c>
    </row>
    <row r="22" spans="1:5" ht="32.25" customHeight="1" x14ac:dyDescent="0.25">
      <c r="A22" s="613"/>
      <c r="B22" s="612"/>
      <c r="C22" s="574" t="str">
        <f>'инновации+добровольчество0,3664'!A69</f>
        <v>удлинитель атлант</v>
      </c>
      <c r="D22" s="498" t="str">
        <f>'инновации+добровольчество0,3664'!D106</f>
        <v>шт</v>
      </c>
      <c r="E22" s="575">
        <f>'инновации+добровольчество0,3664'!E69</f>
        <v>1</v>
      </c>
    </row>
    <row r="23" spans="1:5" ht="32.25" customHeight="1" x14ac:dyDescent="0.25">
      <c r="A23" s="613"/>
      <c r="B23" s="612"/>
      <c r="C23" s="574" t="str">
        <f>'инновации+добровольчество0,3664'!A70</f>
        <v>удлинитель силовой</v>
      </c>
      <c r="D23" s="498" t="str">
        <f>'инновации+добровольчество0,3664'!D107</f>
        <v>шт</v>
      </c>
      <c r="E23" s="575">
        <f>'инновации+добровольчество0,3664'!E70</f>
        <v>1</v>
      </c>
    </row>
    <row r="24" spans="1:5" ht="32.25" customHeight="1" x14ac:dyDescent="0.25">
      <c r="A24" s="613"/>
      <c r="B24" s="612"/>
      <c r="C24" s="574" t="str">
        <f>'инновации+добровольчество0,3664'!A71</f>
        <v>Стрела для безопасной стрельбы</v>
      </c>
      <c r="D24" s="498" t="str">
        <f>'инновации+добровольчество0,3664'!D108</f>
        <v>шт</v>
      </c>
      <c r="E24" s="575">
        <f>'инновации+добровольчество0,3664'!E71</f>
        <v>30</v>
      </c>
    </row>
    <row r="25" spans="1:5" ht="32.25" customHeight="1" x14ac:dyDescent="0.25">
      <c r="A25" s="613"/>
      <c r="B25" s="612"/>
      <c r="C25" s="574" t="str">
        <f>'инновации+добровольчество0,3664'!A72</f>
        <v>Мишень для лучного боя</v>
      </c>
      <c r="D25" s="498" t="str">
        <f>'инновации+добровольчество0,3664'!D109</f>
        <v>шт</v>
      </c>
      <c r="E25" s="575">
        <f>'инновации+добровольчество0,3664'!E72</f>
        <v>2</v>
      </c>
    </row>
    <row r="26" spans="1:5" ht="32.25" customHeight="1" x14ac:dyDescent="0.25">
      <c r="A26" s="613"/>
      <c r="B26" s="612"/>
      <c r="C26" s="574" t="str">
        <f>'инновации+добровольчество0,3664'!A73</f>
        <v>Сменный наконечник для стрелы</v>
      </c>
      <c r="D26" s="498" t="str">
        <f>'инновации+добровольчество0,3664'!D110</f>
        <v>шт</v>
      </c>
      <c r="E26" s="575">
        <f>'инновации+добровольчество0,3664'!E73</f>
        <v>10</v>
      </c>
    </row>
    <row r="27" spans="1:5" ht="32.25" customHeight="1" x14ac:dyDescent="0.25">
      <c r="A27" s="613"/>
      <c r="B27" s="612"/>
      <c r="C27" s="574" t="str">
        <f>'инновации+добровольчество0,3664'!A74</f>
        <v>Ложка чайная одноразовая ПС 125мм (200/4000)</v>
      </c>
      <c r="D27" s="498" t="str">
        <f>'инновации+добровольчество0,3664'!D111</f>
        <v>шт</v>
      </c>
      <c r="E27" s="575">
        <f>'инновации+добровольчество0,3664'!E74</f>
        <v>4000</v>
      </c>
    </row>
    <row r="28" spans="1:5" ht="32.25" customHeight="1" x14ac:dyDescent="0.25">
      <c r="A28" s="613"/>
      <c r="B28" s="612"/>
      <c r="C28" s="574" t="str">
        <f>'инновации+добровольчество0,3664'!A75</f>
        <v xml:space="preserve">Стакан 350 мл бумажн крафт д/гор напит </v>
      </c>
      <c r="D28" s="498" t="str">
        <f>'инновации+добровольчество0,3664'!D112</f>
        <v>шт</v>
      </c>
      <c r="E28" s="575">
        <f>'инновации+добровольчество0,3664'!E75</f>
        <v>1000</v>
      </c>
    </row>
    <row r="29" spans="1:5" ht="32.25" customHeight="1" x14ac:dyDescent="0.25">
      <c r="A29" s="613"/>
      <c r="B29" s="612"/>
      <c r="C29" s="574" t="str">
        <f>'инновации+добровольчество0,3664'!A76</f>
        <v>Стакан 250 мл д/гор напит под крафт</v>
      </c>
      <c r="D29" s="498" t="str">
        <f>'инновации+добровольчество0,3664'!D113</f>
        <v>шт</v>
      </c>
      <c r="E29" s="575">
        <f>'инновации+добровольчество0,3664'!E76</f>
        <v>1000</v>
      </c>
    </row>
    <row r="30" spans="1:5" ht="32.25" customHeight="1" x14ac:dyDescent="0.25">
      <c r="A30" s="613"/>
      <c r="B30" s="612"/>
      <c r="C30" s="574" t="str">
        <f>'инновации+добровольчество0,3664'!A77</f>
        <v>Поддержка проектов в рамках грантового конкурса Территория Красноярский край</v>
      </c>
      <c r="D30" s="498" t="str">
        <f>'инновации+добровольчество0,3664'!D114</f>
        <v>шт</v>
      </c>
      <c r="E30" s="575">
        <f>'инновации+добровольчество0,3664'!E77</f>
        <v>1</v>
      </c>
    </row>
    <row r="31" spans="1:5" ht="32.25" customHeight="1" x14ac:dyDescent="0.25">
      <c r="A31" s="613"/>
      <c r="B31" s="612"/>
      <c r="C31" s="574" t="str">
        <f>'инновации+добровольчество0,3664'!A78</f>
        <v>жетон армейский "выживший" на цепочке</v>
      </c>
      <c r="D31" s="498" t="str">
        <f>'инновации+добровольчество0,3664'!D115</f>
        <v>шт</v>
      </c>
      <c r="E31" s="575">
        <f>'инновации+добровольчество0,3664'!E78</f>
        <v>60</v>
      </c>
    </row>
    <row r="32" spans="1:5" ht="32.25" customHeight="1" x14ac:dyDescent="0.25">
      <c r="A32" s="613"/>
      <c r="B32" s="612"/>
      <c r="C32" s="574" t="str">
        <f>'инновации+добровольчество0,3664'!A79</f>
        <v>подставка для настольного хоккея</v>
      </c>
      <c r="D32" s="498" t="str">
        <f>'инновации+добровольчество0,3664'!D116</f>
        <v>шт</v>
      </c>
      <c r="E32" s="575">
        <f>'инновации+добровольчество0,3664'!E79</f>
        <v>2</v>
      </c>
    </row>
    <row r="33" spans="1:5" ht="32.25" customHeight="1" x14ac:dyDescent="0.25">
      <c r="A33" s="613"/>
      <c r="B33" s="612"/>
      <c r="C33" s="574" t="str">
        <f>'инновации+добровольчество0,3664'!A80</f>
        <v>ножки для настольного хоккея</v>
      </c>
      <c r="D33" s="498" t="str">
        <f>'инновации+добровольчество0,3664'!D117</f>
        <v>шт</v>
      </c>
      <c r="E33" s="575">
        <f>'инновации+добровольчество0,3664'!E80</f>
        <v>8</v>
      </c>
    </row>
    <row r="34" spans="1:5" ht="32.25" customHeight="1" x14ac:dyDescent="0.25">
      <c r="A34" s="613"/>
      <c r="B34" s="612"/>
      <c r="C34" s="574" t="str">
        <f>'инновации+добровольчество0,3664'!A81</f>
        <v>Конкурс ПРОФМАСТЕРСТВА</v>
      </c>
      <c r="D34" s="498" t="str">
        <f>'инновации+добровольчество0,3664'!D118</f>
        <v>шт</v>
      </c>
      <c r="E34" s="575">
        <f>'инновации+добровольчество0,3664'!E81</f>
        <v>0</v>
      </c>
    </row>
    <row r="35" spans="1:5" ht="32.25" customHeight="1" x14ac:dyDescent="0.25">
      <c r="A35" s="613"/>
      <c r="B35" s="612"/>
      <c r="C35" s="574" t="str">
        <f>'инновации+добровольчество0,3664'!A82</f>
        <v>конус тренировочный со штангой</v>
      </c>
      <c r="D35" s="498" t="str">
        <f>'инновации+добровольчество0,3664'!D119</f>
        <v>шт</v>
      </c>
      <c r="E35" s="575">
        <f>'инновации+добровольчество0,3664'!E82</f>
        <v>30</v>
      </c>
    </row>
    <row r="36" spans="1:5" ht="32.25" customHeight="1" x14ac:dyDescent="0.25">
      <c r="A36" s="613"/>
      <c r="B36" s="612"/>
      <c r="C36" s="574" t="str">
        <f>'инновации+добровольчество0,3664'!A83</f>
        <v>ПРОЕКТ "Волонтеры ЮИД"</v>
      </c>
      <c r="D36" s="498" t="str">
        <f>'инновации+добровольчество0,3664'!D120</f>
        <v>шт</v>
      </c>
      <c r="E36" s="575">
        <f>'инновации+добровольчество0,3664'!E83</f>
        <v>0</v>
      </c>
    </row>
    <row r="37" spans="1:5" ht="32.25" customHeight="1" x14ac:dyDescent="0.25">
      <c r="A37" s="613"/>
      <c r="B37" s="612"/>
      <c r="C37" s="574" t="str">
        <f>'инновации+добровольчество0,3664'!A84</f>
        <v>знак дорожный детский</v>
      </c>
      <c r="D37" s="498" t="str">
        <f>'инновации+добровольчество0,3664'!D121</f>
        <v>шт</v>
      </c>
      <c r="E37" s="575">
        <f>'инновации+добровольчество0,3664'!E84</f>
        <v>11</v>
      </c>
    </row>
    <row r="38" spans="1:5" ht="32.25" customHeight="1" x14ac:dyDescent="0.25">
      <c r="A38" s="613"/>
      <c r="B38" s="612"/>
      <c r="C38" s="574" t="str">
        <f>'инновации+добровольчество0,3664'!A85</f>
        <v>пленка самоклей с печатью</v>
      </c>
      <c r="D38" s="498" t="str">
        <f>'инновации+добровольчество0,3664'!D122</f>
        <v>шт</v>
      </c>
      <c r="E38" s="575">
        <f>'инновации+добровольчество0,3664'!E85</f>
        <v>1</v>
      </c>
    </row>
    <row r="39" spans="1:5" ht="32.25" customHeight="1" x14ac:dyDescent="0.25">
      <c r="A39" s="613"/>
      <c r="B39" s="612"/>
      <c r="C39" s="574" t="str">
        <f>'инновации+добровольчество0,3664'!A86</f>
        <v>жилет сигнальный "Волонтер ЮИД"</v>
      </c>
      <c r="D39" s="498" t="str">
        <f>'инновации+добровольчество0,3664'!D123</f>
        <v>шт</v>
      </c>
      <c r="E39" s="575">
        <f>'инновации+добровольчество0,3664'!E86</f>
        <v>10</v>
      </c>
    </row>
    <row r="40" spans="1:5" ht="32.25" customHeight="1" x14ac:dyDescent="0.25">
      <c r="A40" s="613"/>
      <c r="B40" s="612"/>
      <c r="C40" s="574" t="str">
        <f>'инновации+добровольчество0,3664'!A87</f>
        <v>конус тренировочный</v>
      </c>
      <c r="D40" s="498" t="str">
        <f>'инновации+добровольчество0,3664'!D124</f>
        <v>шт</v>
      </c>
      <c r="E40" s="575">
        <f>'инновации+добровольчество0,3664'!E87</f>
        <v>30</v>
      </c>
    </row>
    <row r="41" spans="1:5" ht="32.25" customHeight="1" x14ac:dyDescent="0.25">
      <c r="A41" s="613"/>
      <c r="B41" s="612"/>
      <c r="C41" s="574" t="str">
        <f>'инновации+добровольчество0,3664'!A88</f>
        <v>ПРОЕКТ "ПРИЗЫВ РОССОМАХИ"</v>
      </c>
      <c r="D41" s="498" t="str">
        <f>'инновации+добровольчество0,3664'!D125</f>
        <v>шт</v>
      </c>
      <c r="E41" s="575">
        <f>'инновации+добровольчество0,3664'!E88</f>
        <v>0</v>
      </c>
    </row>
    <row r="42" spans="1:5" ht="32.25" customHeight="1" x14ac:dyDescent="0.25">
      <c r="A42" s="613"/>
      <c r="B42" s="612"/>
      <c r="C42" s="574" t="str">
        <f>'инновации+добровольчество0,3664'!A89</f>
        <v>Граната учебная</v>
      </c>
      <c r="D42" s="498" t="str">
        <f>'инновации+добровольчество0,3664'!D126</f>
        <v>шт</v>
      </c>
      <c r="E42" s="575">
        <f>'инновации+добровольчество0,3664'!E89</f>
        <v>32</v>
      </c>
    </row>
    <row r="43" spans="1:5" ht="32.25" customHeight="1" x14ac:dyDescent="0.25">
      <c r="A43" s="613"/>
      <c r="B43" s="612"/>
      <c r="C43" s="574" t="str">
        <f>'инновации+добровольчество0,3664'!A90</f>
        <v>Шашка дымовая</v>
      </c>
      <c r="D43" s="498" t="str">
        <f>'инновации+добровольчество0,3664'!D127</f>
        <v>шт</v>
      </c>
      <c r="E43" s="575">
        <f>'инновации+добровольчество0,3664'!E90</f>
        <v>17</v>
      </c>
    </row>
    <row r="44" spans="1:5" ht="32.25" customHeight="1" x14ac:dyDescent="0.25">
      <c r="A44" s="613"/>
      <c r="B44" s="612"/>
      <c r="C44" s="574" t="str">
        <f>'инновации+добровольчество0,3664'!A91</f>
        <v>Ножи метательные "Жонглер"</v>
      </c>
      <c r="D44" s="498" t="str">
        <f>'инновации+добровольчество0,3664'!D128</f>
        <v>шт</v>
      </c>
      <c r="E44" s="575">
        <f>'инновации+добровольчество0,3664'!E91</f>
        <v>2</v>
      </c>
    </row>
    <row r="45" spans="1:5" ht="32.25" customHeight="1" x14ac:dyDescent="0.25">
      <c r="A45" s="613"/>
      <c r="B45" s="612"/>
      <c r="C45" s="574" t="str">
        <f>'инновации+добровольчество0,3664'!A92</f>
        <v>Ножи метательные "Дартс-4"</v>
      </c>
      <c r="D45" s="498" t="str">
        <f>'инновации+добровольчество0,3664'!D129</f>
        <v>шт</v>
      </c>
      <c r="E45" s="575">
        <f>'инновации+добровольчество0,3664'!E92</f>
        <v>2</v>
      </c>
    </row>
    <row r="46" spans="1:5" ht="30" customHeight="1" x14ac:dyDescent="0.25">
      <c r="A46" s="613"/>
      <c r="B46" s="612"/>
      <c r="C46" s="574" t="str">
        <f>'инновации+добровольчество0,3664'!A93</f>
        <v>Ножи метательные "Мастер клинок"</v>
      </c>
      <c r="D46" s="498" t="str">
        <f>'инновации+добровольчество0,3664'!D130</f>
        <v>шт</v>
      </c>
      <c r="E46" s="575">
        <f>'инновации+добровольчество0,3664'!E93</f>
        <v>2</v>
      </c>
    </row>
    <row r="47" spans="1:5" ht="16.899999999999999" customHeight="1" x14ac:dyDescent="0.25">
      <c r="A47" s="613"/>
      <c r="B47" s="612"/>
      <c r="C47" s="574" t="str">
        <f>'инновации+добровольчество0,3664'!A94</f>
        <v>Малая пехотная лопата</v>
      </c>
      <c r="D47" s="498" t="str">
        <f>'инновации+добровольчество0,3664'!D131</f>
        <v>шт</v>
      </c>
      <c r="E47" s="575">
        <f>'инновации+добровольчество0,3664'!E94</f>
        <v>2</v>
      </c>
    </row>
    <row r="48" spans="1:5" ht="16.899999999999999" customHeight="1" x14ac:dyDescent="0.25">
      <c r="A48" s="613"/>
      <c r="B48" s="612"/>
      <c r="C48" s="574" t="str">
        <f>'инновации+добровольчество0,3664'!A95</f>
        <v>Лопата тренировочная</v>
      </c>
      <c r="D48" s="498" t="str">
        <f>'инновации+добровольчество0,3664'!D132</f>
        <v>шт</v>
      </c>
      <c r="E48" s="575">
        <f>'инновации+добровольчество0,3664'!E95</f>
        <v>2</v>
      </c>
    </row>
    <row r="49" spans="1:5" ht="16.899999999999999" customHeight="1" x14ac:dyDescent="0.25">
      <c r="A49" s="613"/>
      <c r="B49" s="612"/>
      <c r="C49" s="574" t="str">
        <f>'инновации+добровольчество0,3664'!A96</f>
        <v>баннер 2*2 люверсы</v>
      </c>
      <c r="D49" s="498" t="str">
        <f>'инновации+добровольчество0,3664'!D133</f>
        <v>шт</v>
      </c>
      <c r="E49" s="575">
        <f>'инновации+добровольчество0,3664'!E96</f>
        <v>3</v>
      </c>
    </row>
    <row r="50" spans="1:5" ht="16.899999999999999" customHeight="1" x14ac:dyDescent="0.25">
      <c r="A50" s="613"/>
      <c r="B50" s="612"/>
      <c r="C50" s="574" t="str">
        <f>'инновации+добровольчество0,3664'!A97</f>
        <v>ПРОЕКТ "МОЛОДЫЕ И ЗДОРОВЫЕ"</v>
      </c>
      <c r="D50" s="498" t="str">
        <f>'инновации+добровольчество0,3664'!D134</f>
        <v>шт</v>
      </c>
      <c r="E50" s="575">
        <f>'инновации+добровольчество0,3664'!E97</f>
        <v>0</v>
      </c>
    </row>
    <row r="51" spans="1:5" ht="16.899999999999999" customHeight="1" x14ac:dyDescent="0.25">
      <c r="A51" s="613"/>
      <c r="B51" s="612"/>
      <c r="C51" s="574" t="str">
        <f>'инновации+добровольчество0,3664'!A98</f>
        <v>Коврик для фитнеса (Мат пазл)</v>
      </c>
      <c r="D51" s="498" t="str">
        <f>'инновации+добровольчество0,3664'!D135</f>
        <v>шт</v>
      </c>
      <c r="E51" s="575">
        <f>'инновации+добровольчество0,3664'!E98</f>
        <v>15</v>
      </c>
    </row>
    <row r="52" spans="1:5" ht="16.899999999999999" customHeight="1" x14ac:dyDescent="0.25">
      <c r="A52" s="613"/>
      <c r="B52" s="612"/>
      <c r="C52" s="574" t="str">
        <f>'инновации+добровольчество0,3664'!A99</f>
        <v>Скакалка Kettler</v>
      </c>
      <c r="D52" s="498" t="str">
        <f>'инновации+добровольчество0,3664'!D136</f>
        <v>шт</v>
      </c>
      <c r="E52" s="575">
        <f>'инновации+добровольчество0,3664'!E99</f>
        <v>15</v>
      </c>
    </row>
    <row r="53" spans="1:5" ht="16.899999999999999" customHeight="1" x14ac:dyDescent="0.25">
      <c r="A53" s="613"/>
      <c r="B53" s="612"/>
      <c r="C53" s="574" t="str">
        <f>'инновации+добровольчество0,3664'!A100</f>
        <v>Блок для занятия йогой</v>
      </c>
      <c r="D53" s="498" t="str">
        <f>'инновации+добровольчество0,3664'!D137</f>
        <v>шт</v>
      </c>
      <c r="E53" s="575">
        <f>'инновации+добровольчество0,3664'!E100</f>
        <v>30</v>
      </c>
    </row>
    <row r="54" spans="1:5" ht="16.899999999999999" customHeight="1" x14ac:dyDescent="0.25">
      <c r="A54" s="613"/>
      <c r="B54" s="612"/>
      <c r="C54" s="574" t="str">
        <f>'инновации+добровольчество0,3664'!A101</f>
        <v>ПРОЕКТ МАТЬ И ДИТЯ</v>
      </c>
      <c r="D54" s="498" t="str">
        <f>'инновации+добровольчество0,3664'!D138</f>
        <v>шт</v>
      </c>
      <c r="E54" s="575">
        <f>'инновации+добровольчество0,3664'!E101</f>
        <v>0</v>
      </c>
    </row>
    <row r="55" spans="1:5" ht="16.899999999999999" customHeight="1" x14ac:dyDescent="0.25">
      <c r="A55" s="613"/>
      <c r="B55" s="612"/>
      <c r="C55" s="574" t="str">
        <f>'инновации+добровольчество0,3664'!A102</f>
        <v>Набор фетра декоративного Gamma 20 см х 30 см ± 1-2 см 5 листов 195 г/кв.м</v>
      </c>
      <c r="D55" s="498" t="str">
        <f>'инновации+добровольчество0,3664'!D139</f>
        <v>шт</v>
      </c>
      <c r="E55" s="575">
        <f>'инновации+добровольчество0,3664'!E102</f>
        <v>4</v>
      </c>
    </row>
    <row r="56" spans="1:5" ht="16.899999999999999" customHeight="1" x14ac:dyDescent="0.25">
      <c r="A56" s="613"/>
      <c r="B56" s="612"/>
      <c r="C56" s="574" t="str">
        <f>'инновации+добровольчество0,3664'!A103</f>
        <v>Магнитная лента «Создай магниты» белая</v>
      </c>
      <c r="D56" s="498" t="str">
        <f>'инновации+добровольчество0,3664'!D140</f>
        <v>шт</v>
      </c>
      <c r="E56" s="575">
        <f>'инновации+добровольчество0,3664'!E103</f>
        <v>5</v>
      </c>
    </row>
    <row r="57" spans="1:5" ht="16.899999999999999" customHeight="1" x14ac:dyDescent="0.25">
      <c r="A57" s="613"/>
      <c r="B57" s="612"/>
      <c r="C57" s="574" t="str">
        <f>'инновации+добровольчество0,3664'!A104</f>
        <v>Деревянный магнит Пазл 114х73.</v>
      </c>
      <c r="D57" s="498" t="str">
        <f>'инновации+добровольчество0,3664'!D141</f>
        <v>шт</v>
      </c>
      <c r="E57" s="575">
        <f>'инновации+добровольчество0,3664'!E104</f>
        <v>20</v>
      </c>
    </row>
    <row r="58" spans="1:5" ht="16.899999999999999" customHeight="1" x14ac:dyDescent="0.25">
      <c r="A58" s="613"/>
      <c r="B58" s="612"/>
      <c r="C58" s="574" t="str">
        <f>'инновации+добровольчество0,3664'!A105</f>
        <v>Выдуй шарик! (2 штуки в упаковке. Цвета в ассортименте)</v>
      </c>
      <c r="D58" s="498" t="str">
        <f>'инновации+добровольчество0,3664'!D142</f>
        <v>шт</v>
      </c>
      <c r="E58" s="575">
        <f>'инновации+добровольчество0,3664'!E105</f>
        <v>10</v>
      </c>
    </row>
    <row r="59" spans="1:5" ht="16.899999999999999" customHeight="1" x14ac:dyDescent="0.25">
      <c r="A59" s="613"/>
      <c r="B59" s="612"/>
      <c r="C59" s="574" t="str">
        <f>'инновации+добровольчество0,3664'!A106</f>
        <v>Ветерок-вертушка 102475 Круть-верть 400190 в пакете</v>
      </c>
      <c r="D59" s="498" t="str">
        <f>'инновации+добровольчество0,3664'!D143</f>
        <v>шт</v>
      </c>
      <c r="E59" s="575">
        <f>'инновации+добровольчество0,3664'!E106</f>
        <v>20</v>
      </c>
    </row>
    <row r="60" spans="1:5" ht="16.899999999999999" customHeight="1" x14ac:dyDescent="0.25">
      <c r="A60" s="613"/>
      <c r="B60" s="612"/>
      <c r="C60" s="574" t="str">
        <f>'инновации+добровольчество0,3664'!A107</f>
        <v>AQUAELLE Спиртовые антисептические антибактериальные влажные салфетки medical, 300 штук</v>
      </c>
      <c r="D60" s="498" t="s">
        <v>84</v>
      </c>
      <c r="E60" s="575">
        <f>'инновации+добровольчество0,3664'!E107</f>
        <v>1</v>
      </c>
    </row>
    <row r="61" spans="1:5" ht="16.899999999999999" customHeight="1" x14ac:dyDescent="0.25">
      <c r="A61" s="613"/>
      <c r="B61" s="612"/>
      <c r="C61" s="574" t="str">
        <f>'инновации+добровольчество0,3664'!A108</f>
        <v>Фотобумага LOMOND 2410023 самоклеющаяся глянцевая 4 части А4 (105 x 148,5 мм) 85 г/м2, 25 листов</v>
      </c>
      <c r="D61" s="498" t="s">
        <v>84</v>
      </c>
      <c r="E61" s="575">
        <f>'инновации+добровольчество0,3664'!E108</f>
        <v>2</v>
      </c>
    </row>
    <row r="62" spans="1:5" ht="23.25" customHeight="1" x14ac:dyDescent="0.25">
      <c r="A62" s="613"/>
      <c r="B62" s="612"/>
      <c r="C62" s="574" t="str">
        <f>'инновации+добровольчество0,3664'!A109</f>
        <v>Аэробол для развития речевого дыхания "Дудочка с шариком", 2865274, цвета МИКС</v>
      </c>
      <c r="D62" s="498" t="s">
        <v>84</v>
      </c>
      <c r="E62" s="575">
        <f>'инновации+добровольчество0,3664'!E109</f>
        <v>5</v>
      </c>
    </row>
    <row r="63" spans="1:5" ht="16.899999999999999" customHeight="1" x14ac:dyDescent="0.25">
      <c r="A63" s="613"/>
      <c r="B63" s="612"/>
      <c r="C63" s="574" t="str">
        <f>'инновации+добровольчество0,3664'!A110</f>
        <v>«Боулинг» игра для дыхательной гимнастики</v>
      </c>
      <c r="D63" s="498" t="s">
        <v>84</v>
      </c>
      <c r="E63" s="575">
        <f>'инновации+добровольчество0,3664'!E110</f>
        <v>1</v>
      </c>
    </row>
    <row r="64" spans="1:5" ht="23.25" customHeight="1" x14ac:dyDescent="0.25">
      <c r="A64" s="613"/>
      <c r="B64" s="612"/>
      <c r="C64" s="574" t="str">
        <f>'инновации+добровольчество0,3664'!A111</f>
        <v>"BOOMZEE" BLS-30 НАБОР ВОЗДУШНЫХ ШАРОВ 30 СМ 10 ШТ. 02-АССОРТИ МЕТАЛЛИК</v>
      </c>
      <c r="D64" s="498" t="s">
        <v>84</v>
      </c>
      <c r="E64" s="575">
        <f>'инновации+добровольчество0,3664'!E111</f>
        <v>5</v>
      </c>
    </row>
    <row r="65" spans="1:5" ht="16.899999999999999" customHeight="1" x14ac:dyDescent="0.25">
      <c r="A65" s="613"/>
      <c r="B65" s="612"/>
      <c r="C65" s="574" t="str">
        <f>'инновации+добровольчество0,3664'!A112</f>
        <v>Дыхательный тренажер "Качели", арт. П256</v>
      </c>
      <c r="D65" s="498" t="s">
        <v>84</v>
      </c>
      <c r="E65" s="575">
        <f>'инновации+добровольчество0,3664'!E112</f>
        <v>5</v>
      </c>
    </row>
    <row r="66" spans="1:5" ht="16.899999999999999" customHeight="1" x14ac:dyDescent="0.25">
      <c r="A66" s="613"/>
      <c r="B66" s="612"/>
      <c r="C66" s="574" t="str">
        <f>'инновации+добровольчество0,3664'!A113</f>
        <v>Дыхательный тренажер "Тучка", арт. П258</v>
      </c>
      <c r="D66" s="498" t="s">
        <v>84</v>
      </c>
      <c r="E66" s="575">
        <f>'инновации+добровольчество0,3664'!E113</f>
        <v>5</v>
      </c>
    </row>
    <row r="67" spans="1:5" ht="16.899999999999999" customHeight="1" x14ac:dyDescent="0.25">
      <c r="A67" s="613"/>
      <c r="B67" s="612"/>
      <c r="C67" s="574" t="str">
        <f>'инновации+добровольчество0,3664'!A114</f>
        <v>Пуговицы-фигурки. Цветы Dress It Up</v>
      </c>
      <c r="D67" s="498" t="s">
        <v>84</v>
      </c>
      <c r="E67" s="575">
        <f>'инновации+добровольчество0,3664'!E114</f>
        <v>4</v>
      </c>
    </row>
    <row r="68" spans="1:5" ht="16.899999999999999" customHeight="1" x14ac:dyDescent="0.25">
      <c r="A68" s="613"/>
      <c r="B68" s="612"/>
      <c r="C68" s="574" t="str">
        <f>'инновации+добровольчество0,3664'!A115</f>
        <v>Пленка для ламинирования OfficeSpace А4 100мкм 100шт LF7089</v>
      </c>
      <c r="D68" s="498" t="s">
        <v>84</v>
      </c>
      <c r="E68" s="575">
        <f>'инновации+добровольчество0,3664'!E115</f>
        <v>1</v>
      </c>
    </row>
    <row r="69" spans="1:5" ht="16.899999999999999" customHeight="1" x14ac:dyDescent="0.25">
      <c r="A69" s="613"/>
      <c r="B69" s="612"/>
      <c r="C69" s="574" t="str">
        <f>'инновации+добровольчество0,3664'!A116</f>
        <v>L-951 Деревянная заготовка Медаль 3,5см с ушком</v>
      </c>
      <c r="D69" s="498" t="s">
        <v>84</v>
      </c>
      <c r="E69" s="575">
        <f>'инновации+добровольчество0,3664'!E116</f>
        <v>20</v>
      </c>
    </row>
    <row r="70" spans="1:5" ht="16.899999999999999" customHeight="1" x14ac:dyDescent="0.25">
      <c r="A70" s="613"/>
      <c r="B70" s="612"/>
      <c r="C70" s="574" t="str">
        <f>'инновации+добровольчество0,3664'!A117</f>
        <v>Ложка столовая одноразовая пластиковая 165 мм, белая, КОМПЛЕКТ 100 шт., СТАНДАРТ, LAIMA, 603079</v>
      </c>
      <c r="D70" s="498" t="s">
        <v>84</v>
      </c>
      <c r="E70" s="575">
        <f>'инновации+добровольчество0,3664'!E117</f>
        <v>1</v>
      </c>
    </row>
    <row r="71" spans="1:5" ht="21.75" customHeight="1" x14ac:dyDescent="0.25">
      <c r="A71" s="613"/>
      <c r="B71" s="612"/>
      <c r="C71" s="574" t="str">
        <f>'инновации+добровольчество0,3664'!A118</f>
        <v>Пенопластовые заготовки для творчества «Шарики», 10 шт., 20 мм, остров сокровищ, 661344</v>
      </c>
      <c r="D71" s="498" t="s">
        <v>84</v>
      </c>
      <c r="E71" s="575">
        <f>'инновации+добровольчество0,3664'!E118</f>
        <v>4</v>
      </c>
    </row>
    <row r="72" spans="1:5" ht="14.45" customHeight="1" x14ac:dyDescent="0.25">
      <c r="A72" s="613"/>
      <c r="B72" s="612"/>
      <c r="C72" s="574" t="str">
        <f>'инновации+добровольчество0,3664'!A119</f>
        <v>Набор самоцветов N1 500 гр., Сокровища Пирата, арт. 0017</v>
      </c>
      <c r="D72" s="498" t="s">
        <v>84</v>
      </c>
      <c r="E72" s="575">
        <f>'инновации+добровольчество0,3664'!E119</f>
        <v>1</v>
      </c>
    </row>
    <row r="73" spans="1:5" ht="12" customHeight="1" x14ac:dyDescent="0.25">
      <c r="A73" s="613"/>
      <c r="B73" s="612"/>
      <c r="C73" s="574" t="str">
        <f>'инновации+добровольчество0,3664'!A120</f>
        <v>Я рисую, раскраска</v>
      </c>
      <c r="D73" s="498" t="s">
        <v>84</v>
      </c>
      <c r="E73" s="575">
        <f>'инновации+добровольчество0,3664'!E120</f>
        <v>10</v>
      </c>
    </row>
    <row r="74" spans="1:5" ht="31.5" customHeight="1" x14ac:dyDescent="0.25">
      <c r="A74" s="613"/>
      <c r="B74" s="612"/>
      <c r="C74" s="574" t="str">
        <f>'инновации+добровольчество0,3664'!A121</f>
        <v>Карандаши цветные утолщенные ЮНЛАНДИЯ «МАЛЫШИ-КАРАНДАШИ», 12 цветов, укороченные заточенные, 181376</v>
      </c>
      <c r="D74" s="498" t="s">
        <v>84</v>
      </c>
      <c r="E74" s="575">
        <f>'инновации+добровольчество0,3664'!E121</f>
        <v>10</v>
      </c>
    </row>
    <row r="75" spans="1:5" ht="31.15" customHeight="1" x14ac:dyDescent="0.25">
      <c r="A75" s="613"/>
      <c r="B75" s="612"/>
      <c r="C75" s="574" t="str">
        <f>'инновации+добровольчество0,3664'!A122</f>
        <v>Набор для лепки "Тесто пластилин", 12 цветов, в пак.</v>
      </c>
      <c r="D75" s="498" t="s">
        <v>84</v>
      </c>
      <c r="E75" s="575">
        <f>'инновации+добровольчество0,3664'!E122</f>
        <v>5</v>
      </c>
    </row>
    <row r="76" spans="1:5" ht="31.15" customHeight="1" x14ac:dyDescent="0.25">
      <c r="A76" s="613"/>
      <c r="B76" s="612"/>
      <c r="C76" s="574" t="str">
        <f>'инновации+добровольчество0,3664'!A123</f>
        <v>«Занимательные книги»</v>
      </c>
      <c r="D76" s="498" t="s">
        <v>84</v>
      </c>
      <c r="E76" s="575">
        <f>'инновации+добровольчество0,3664'!E123</f>
        <v>8</v>
      </c>
    </row>
    <row r="77" spans="1:5" ht="31.15" customHeight="1" x14ac:dyDescent="0.25">
      <c r="A77" s="613"/>
      <c r="B77" s="612"/>
      <c r="C77" s="574" t="str">
        <f>'инновации+добровольчество0,3664'!A124</f>
        <v>Клеевой пистолет малый премиум Hobby and Pro</v>
      </c>
      <c r="D77" s="498" t="s">
        <v>84</v>
      </c>
      <c r="E77" s="575">
        <f>'инновации+добровольчество0,3664'!E124</f>
        <v>2</v>
      </c>
    </row>
    <row r="78" spans="1:5" ht="31.15" customHeight="1" x14ac:dyDescent="0.25">
      <c r="A78" s="613"/>
      <c r="B78" s="612"/>
      <c r="C78" s="574" t="str">
        <f>'инновации+добровольчество0,3664'!A125</f>
        <v>Клеевые стержни REXANT 7.4х200 мм, 10 шт. прозрачный</v>
      </c>
      <c r="D78" s="498" t="s">
        <v>84</v>
      </c>
      <c r="E78" s="575">
        <f>'инновации+добровольчество0,3664'!E125</f>
        <v>1</v>
      </c>
    </row>
    <row r="79" spans="1:5" ht="31.15" customHeight="1" x14ac:dyDescent="0.25">
      <c r="A79" s="613"/>
      <c r="B79" s="612"/>
      <c r="C79" s="574" t="str">
        <f>'инновации+добровольчество0,3664'!A126</f>
        <v>Набор атласных лент «Нежный», 5 шт, размер 1 ленты: 6 мм × 23 ± 1 м</v>
      </c>
      <c r="D79" s="498" t="s">
        <v>84</v>
      </c>
      <c r="E79" s="575">
        <f>'инновации+добровольчество0,3664'!E126</f>
        <v>1</v>
      </c>
    </row>
    <row r="80" spans="1:5" ht="31.15" customHeight="1" x14ac:dyDescent="0.25">
      <c r="A80" s="613"/>
      <c r="B80" s="612"/>
      <c r="C80" s="574" t="str">
        <f>'инновации+добровольчество0,3664'!A127</f>
        <v>Fancy Baby Мегатактилики / Сенсорные тактилики антистресс Тактильные массажные мячики набор 12 штук</v>
      </c>
      <c r="D80" s="498" t="s">
        <v>84</v>
      </c>
      <c r="E80" s="575">
        <f>'инновации+добровольчество0,3664'!E127</f>
        <v>2</v>
      </c>
    </row>
    <row r="81" spans="1:5" ht="31.15" customHeight="1" x14ac:dyDescent="0.25">
      <c r="A81" s="613"/>
      <c r="B81" s="612"/>
      <c r="C81" s="574" t="str">
        <f>'инновации+добровольчество0,3664'!A128</f>
        <v>Трубочки для коктейля 10 шт 25х7х0,5 см бамбук</v>
      </c>
      <c r="D81" s="498" t="s">
        <v>84</v>
      </c>
      <c r="E81" s="575">
        <f>'инновации+добровольчество0,3664'!E128</f>
        <v>2</v>
      </c>
    </row>
    <row r="82" spans="1:5" ht="31.15" customHeight="1" x14ac:dyDescent="0.25">
      <c r="A82" s="613"/>
      <c r="B82" s="612"/>
      <c r="C82" s="574" t="str">
        <f>'инновации+добровольчество0,3664'!A129</f>
        <v>Бумага cactus A6 CS-GA6230500 230 г/м² 500 лист., белый</v>
      </c>
      <c r="D82" s="498" t="s">
        <v>84</v>
      </c>
      <c r="E82" s="575">
        <f>'инновации+добровольчество0,3664'!E129</f>
        <v>2</v>
      </c>
    </row>
    <row r="83" spans="1:5" ht="31.15" customHeight="1" x14ac:dyDescent="0.25">
      <c r="A83" s="613"/>
      <c r="B83" s="612"/>
      <c r="C83" s="574" t="str">
        <f>'инновации+добровольчество0,3664'!A130</f>
        <v>Бумага Lomond A4 Photo Paper  230 г/м² 50 лист., белый, матовая</v>
      </c>
      <c r="D83" s="498" t="s">
        <v>84</v>
      </c>
      <c r="E83" s="575">
        <f>'инновации+добровольчество0,3664'!E130</f>
        <v>10</v>
      </c>
    </row>
    <row r="84" spans="1:5" ht="31.15" customHeight="1" x14ac:dyDescent="0.25">
      <c r="A84" s="613"/>
      <c r="B84" s="612"/>
      <c r="C84" s="574" t="str">
        <f>'инновации+добровольчество0,3664'!A131</f>
        <v>Бумага Lomond A4 Photo Paper 170 г/м² 100 лист, белый, матовая</v>
      </c>
      <c r="D84" s="498" t="s">
        <v>84</v>
      </c>
      <c r="E84" s="575">
        <f>'инновации+добровольчество0,3664'!E131</f>
        <v>5</v>
      </c>
    </row>
    <row r="85" spans="1:5" ht="31.15" customHeight="1" x14ac:dyDescent="0.25">
      <c r="A85" s="613"/>
      <c r="B85" s="612"/>
      <c r="C85" s="574" t="str">
        <f>'инновации+добровольчество0,3664'!A132</f>
        <v>Бумага Lomond A4 Photo Paper 230 г/м2 50 лист., белый, глянц</v>
      </c>
      <c r="D85" s="498" t="s">
        <v>84</v>
      </c>
      <c r="E85" s="575">
        <f>'инновации+добровольчество0,3664'!E132</f>
        <v>10</v>
      </c>
    </row>
    <row r="86" spans="1:5" ht="31.15" customHeight="1" x14ac:dyDescent="0.25">
      <c r="A86" s="613"/>
      <c r="B86" s="612"/>
      <c r="C86" s="574" t="str">
        <f>'инновации+добровольчество0,3664'!A133</f>
        <v>Бумага Lomond A4 Photo Paper 170 г/м² 100 лист, белый, глянц</v>
      </c>
      <c r="D86" s="498" t="s">
        <v>84</v>
      </c>
      <c r="E86" s="575">
        <f>'инновации+добровольчество0,3664'!E133</f>
        <v>5</v>
      </c>
    </row>
    <row r="87" spans="1:5" ht="31.15" customHeight="1" x14ac:dyDescent="0.25">
      <c r="A87" s="613"/>
      <c r="B87" s="612"/>
      <c r="C87" s="574" t="str">
        <f>'инновации+добровольчество0,3664'!A134</f>
        <v>Фляжка-бутылка. Алюминиевая, белый цвет, объем 500мл, с поилкой</v>
      </c>
      <c r="D87" s="498" t="s">
        <v>84</v>
      </c>
      <c r="E87" s="575">
        <f>'инновации+добровольчество0,3664'!E134</f>
        <v>10</v>
      </c>
    </row>
    <row r="88" spans="1:5" ht="31.15" customHeight="1" x14ac:dyDescent="0.25">
      <c r="A88" s="613"/>
      <c r="B88" s="612"/>
      <c r="C88" s="574" t="str">
        <f>'инновации+добровольчество0,3664'!A135</f>
        <v>Кружка керамическая, 330 мл, белая</v>
      </c>
      <c r="D88" s="498" t="s">
        <v>84</v>
      </c>
      <c r="E88" s="575">
        <f>'инновации+добровольчество0,3664'!E135</f>
        <v>10</v>
      </c>
    </row>
    <row r="89" spans="1:5" ht="31.15" customHeight="1" x14ac:dyDescent="0.25">
      <c r="A89" s="613"/>
      <c r="B89" s="612"/>
      <c r="C89" s="574" t="str">
        <f>'инновации+добровольчество0,3664'!A136</f>
        <v>Ручка, УФ печать, пластиковая, автомат, зеленая</v>
      </c>
      <c r="D89" s="498" t="s">
        <v>84</v>
      </c>
      <c r="E89" s="575">
        <f>'инновации+добровольчество0,3664'!E136</f>
        <v>100</v>
      </c>
    </row>
    <row r="90" spans="1:5" ht="31.15" customHeight="1" x14ac:dyDescent="0.25">
      <c r="A90" s="613"/>
      <c r="B90" s="612"/>
      <c r="C90" s="574" t="str">
        <f>'инновации+добровольчество0,3664'!A137</f>
        <v>Сумка шоппер, хлопок, 320 гр, премиум 40х40 см, с прямой цифровой печатью</v>
      </c>
      <c r="D90" s="498" t="s">
        <v>84</v>
      </c>
      <c r="E90" s="575">
        <f>'инновации+добровольчество0,3664'!E137</f>
        <v>10</v>
      </c>
    </row>
    <row r="91" spans="1:5" ht="31.15" customHeight="1" x14ac:dyDescent="0.25">
      <c r="A91" s="613"/>
      <c r="B91" s="612"/>
      <c r="C91" s="574" t="str">
        <f>'инновации+добровольчество0,3664'!A138</f>
        <v>Пакет, пвд, белый, 20х30 см, 1 цвет</v>
      </c>
      <c r="D91" s="498" t="s">
        <v>84</v>
      </c>
      <c r="E91" s="575">
        <f>'инновации+добровольчество0,3664'!E138</f>
        <v>100</v>
      </c>
    </row>
    <row r="92" spans="1:5" ht="31.15" customHeight="1" x14ac:dyDescent="0.25">
      <c r="A92" s="613"/>
      <c r="B92" s="612"/>
      <c r="C92" s="574" t="str">
        <f>'инновации+добровольчество0,3664'!A139</f>
        <v>Сумка поясная</v>
      </c>
      <c r="D92" s="498" t="s">
        <v>84</v>
      </c>
      <c r="E92" s="575">
        <f>'инновации+добровольчество0,3664'!E139</f>
        <v>10</v>
      </c>
    </row>
    <row r="93" spans="1:5" ht="31.15" customHeight="1" x14ac:dyDescent="0.25">
      <c r="A93" s="613"/>
      <c r="B93" s="612"/>
      <c r="C93" s="574" t="str">
        <f>'инновации+добровольчество0,3664'!A140</f>
        <v>Футболка, 100% хлопок, кулирная гладь, белый цвет, цифровая печать</v>
      </c>
      <c r="D93" s="498" t="s">
        <v>84</v>
      </c>
      <c r="E93" s="575">
        <f>'инновации+добровольчество0,3664'!E140</f>
        <v>10</v>
      </c>
    </row>
    <row r="94" spans="1:5" ht="31.15" customHeight="1" x14ac:dyDescent="0.25">
      <c r="A94" s="613"/>
      <c r="B94" s="612"/>
      <c r="C94" s="574" t="str">
        <f>'инновации+добровольчество0,3664'!A141</f>
        <v>Статуэтка на подставке из дерева 150 мм</v>
      </c>
      <c r="D94" s="498" t="s">
        <v>84</v>
      </c>
      <c r="E94" s="575">
        <f>'инновации+добровольчество0,3664'!E141</f>
        <v>10</v>
      </c>
    </row>
    <row r="95" spans="1:5" ht="31.15" customHeight="1" x14ac:dyDescent="0.25">
      <c r="A95" s="613"/>
      <c r="B95" s="612"/>
      <c r="C95" s="574" t="str">
        <f>'инновации+добровольчество0,3664'!A142</f>
        <v>Статуэтка на подставке из дерева 200 мм Первый</v>
      </c>
      <c r="D95" s="498" t="s">
        <v>84</v>
      </c>
      <c r="E95" s="575">
        <f>'инновации+добровольчество0,3664'!E142</f>
        <v>1</v>
      </c>
    </row>
    <row r="96" spans="1:5" ht="12" customHeight="1" x14ac:dyDescent="0.25">
      <c r="A96" s="613"/>
      <c r="B96" s="612"/>
      <c r="C96" s="617" t="s">
        <v>135</v>
      </c>
      <c r="D96" s="618"/>
      <c r="E96" s="619"/>
    </row>
    <row r="97" spans="1:5" ht="12" customHeight="1" x14ac:dyDescent="0.25">
      <c r="A97" s="613"/>
      <c r="B97" s="612"/>
      <c r="C97" s="617" t="s">
        <v>136</v>
      </c>
      <c r="D97" s="618"/>
      <c r="E97" s="619"/>
    </row>
    <row r="98" spans="1:5" ht="21" customHeight="1" x14ac:dyDescent="0.25">
      <c r="A98" s="613"/>
      <c r="B98" s="612"/>
      <c r="C98" s="12" t="str">
        <f>'инновации+добровольчество0,3664'!A189</f>
        <v>Теплоэнергия</v>
      </c>
      <c r="D98" s="113" t="str">
        <f>'инновации+добровольчество0,3664'!B189</f>
        <v>Гкал</v>
      </c>
      <c r="E98" s="114">
        <f>'инновации+добровольчество0,3664'!D189</f>
        <v>20.152000000000001</v>
      </c>
    </row>
    <row r="99" spans="1:5" ht="12" customHeight="1" x14ac:dyDescent="0.25">
      <c r="A99" s="613"/>
      <c r="B99" s="612"/>
      <c r="C99" s="12" t="str">
        <f>'инновации+добровольчество0,3664'!A190</f>
        <v xml:space="preserve">Водоснабжение </v>
      </c>
      <c r="D99" s="113" t="str">
        <f>'инновации+добровольчество0,3664'!B190</f>
        <v>м2</v>
      </c>
      <c r="E99" s="114">
        <f>'инновации+добровольчество0,3664'!D190</f>
        <v>38.948320000000002</v>
      </c>
    </row>
    <row r="100" spans="1:5" ht="12" customHeight="1" x14ac:dyDescent="0.25">
      <c r="A100" s="613"/>
      <c r="B100" s="612"/>
      <c r="C100" s="12" t="str">
        <f>'инновации+добровольчество0,3664'!A191</f>
        <v>Водоотведение (септик)</v>
      </c>
      <c r="D100" s="113" t="str">
        <f>'инновации+добровольчество0,3664'!B191</f>
        <v>м3</v>
      </c>
      <c r="E100" s="114">
        <f>'инновации+добровольчество0,3664'!D191</f>
        <v>1.0992</v>
      </c>
    </row>
    <row r="101" spans="1:5" ht="12" customHeight="1" x14ac:dyDescent="0.25">
      <c r="A101" s="613"/>
      <c r="B101" s="612"/>
      <c r="C101" s="12" t="str">
        <f>'инновации+добровольчество0,3664'!A192</f>
        <v>Электроэнергия</v>
      </c>
      <c r="D101" s="113" t="str">
        <f>'инновации+добровольчество0,3664'!B192</f>
        <v>МВт час.</v>
      </c>
      <c r="E101" s="114">
        <f>'инновации+добровольчество0,3664'!D192</f>
        <v>2.1983999999999999</v>
      </c>
    </row>
    <row r="102" spans="1:5" ht="12" customHeight="1" x14ac:dyDescent="0.25">
      <c r="A102" s="613"/>
      <c r="B102" s="612"/>
      <c r="C102" s="12" t="str">
        <f>'инновации+добровольчество0,3664'!A193</f>
        <v>ТКО</v>
      </c>
      <c r="D102" s="113" t="str">
        <f>'инновации+добровольчество0,3664'!B193</f>
        <v>договор</v>
      </c>
      <c r="E102" s="114">
        <f>'инновации+добровольчество0,3664'!D193</f>
        <v>2.9312</v>
      </c>
    </row>
    <row r="103" spans="1:5" ht="14.45" customHeight="1" x14ac:dyDescent="0.25">
      <c r="A103" s="613"/>
      <c r="B103" s="612"/>
      <c r="C103" s="247" t="str">
        <f>'инновации+добровольчество0,3664'!A194</f>
        <v>Электроэнергия (резерв)</v>
      </c>
      <c r="D103" s="247" t="str">
        <f>'инновации+добровольчество0,3664'!B194</f>
        <v>МВт час.</v>
      </c>
      <c r="E103" s="113">
        <f>'инновации+добровольчество0,3664'!D194</f>
        <v>1.8320000000000001</v>
      </c>
    </row>
    <row r="104" spans="1:5" ht="26.25" customHeight="1" x14ac:dyDescent="0.25">
      <c r="A104" s="613"/>
      <c r="B104" s="612"/>
      <c r="C104" s="620" t="s">
        <v>137</v>
      </c>
      <c r="D104" s="621"/>
      <c r="E104" s="622"/>
    </row>
    <row r="105" spans="1:5" ht="14.45" customHeight="1" x14ac:dyDescent="0.25">
      <c r="A105" s="613"/>
      <c r="B105" s="612"/>
      <c r="C105" s="121" t="str">
        <f>'инновации+добровольчество0,3664'!A232</f>
        <v>Профилактическая дезинфекция</v>
      </c>
      <c r="D105" s="113" t="s">
        <v>22</v>
      </c>
      <c r="E105" s="230">
        <f>'инновации+добровольчество0,3664'!D232</f>
        <v>0.3664</v>
      </c>
    </row>
    <row r="106" spans="1:5" ht="14.45" customHeight="1" x14ac:dyDescent="0.25">
      <c r="A106" s="613"/>
      <c r="B106" s="612"/>
      <c r="C106" s="121" t="str">
        <f>'инновации+добровольчество0,3664'!A233</f>
        <v>Обслуживание системы видеонаблюдения</v>
      </c>
      <c r="D106" s="113" t="s">
        <v>22</v>
      </c>
      <c r="E106" s="230">
        <f>'инновации+добровольчество0,3664'!D233</f>
        <v>4.3967999999999998</v>
      </c>
    </row>
    <row r="107" spans="1:5" ht="14.45" customHeight="1" x14ac:dyDescent="0.25">
      <c r="A107" s="613"/>
      <c r="B107" s="612"/>
      <c r="C107" s="121" t="str">
        <f>'инновации+добровольчество0,3664'!A234</f>
        <v>Комплексное обслуживание системы тепловодоснабжения и конструктивных элементов здания</v>
      </c>
      <c r="D107" s="113" t="s">
        <v>22</v>
      </c>
      <c r="E107" s="230">
        <f>'инновации+добровольчество0,3664'!D234</f>
        <v>0.3664</v>
      </c>
    </row>
    <row r="108" spans="1:5" ht="14.45" customHeight="1" x14ac:dyDescent="0.25">
      <c r="A108" s="613"/>
      <c r="B108" s="612"/>
      <c r="C108" s="121" t="str">
        <f>'инновации+добровольчество0,3664'!A235</f>
        <v>Договор осмотр технического состояния автомобиля</v>
      </c>
      <c r="D108" s="113" t="s">
        <v>22</v>
      </c>
      <c r="E108" s="230">
        <f>'инновации+добровольчество0,3664'!D235</f>
        <v>76.944000000000003</v>
      </c>
    </row>
    <row r="109" spans="1:5" ht="14.45" customHeight="1" x14ac:dyDescent="0.25">
      <c r="A109" s="613"/>
      <c r="B109" s="612"/>
      <c r="C109" s="121" t="str">
        <f>'инновации+добровольчество0,3664'!A236</f>
        <v>Техническое обслуживание систем пожарной сигнализации</v>
      </c>
      <c r="D109" s="113" t="s">
        <v>22</v>
      </c>
      <c r="E109" s="230">
        <f>'инновации+добровольчество0,3664'!D236</f>
        <v>4.3967999999999998</v>
      </c>
    </row>
    <row r="110" spans="1:5" ht="22.5" customHeight="1" x14ac:dyDescent="0.25">
      <c r="A110" s="613"/>
      <c r="B110" s="612"/>
      <c r="C110" s="121" t="str">
        <f>'инновации+добровольчество0,3664'!A237</f>
        <v>Заправка катриджей</v>
      </c>
      <c r="D110" s="113" t="s">
        <v>22</v>
      </c>
      <c r="E110" s="230">
        <f>'инновации+добровольчество0,3664'!D237</f>
        <v>3.6640000000000001</v>
      </c>
    </row>
    <row r="111" spans="1:5" ht="19.5" customHeight="1" x14ac:dyDescent="0.25">
      <c r="A111" s="613"/>
      <c r="B111" s="612"/>
      <c r="C111" s="121" t="str">
        <f>'инновации+добровольчество0,3664'!A238</f>
        <v>Возмещение мед осмотра (112/212)</v>
      </c>
      <c r="D111" s="113" t="s">
        <v>22</v>
      </c>
      <c r="E111" s="230">
        <f>'инновации+добровольчество0,3664'!D238</f>
        <v>0.73280000000000001</v>
      </c>
    </row>
    <row r="112" spans="1:5" ht="13.5" customHeight="1" x14ac:dyDescent="0.25">
      <c r="A112" s="613"/>
      <c r="B112" s="612"/>
      <c r="C112" s="121" t="str">
        <f>'инновации+добровольчество0,3664'!A239</f>
        <v>Услуги СЕМИС подписка</v>
      </c>
      <c r="D112" s="113" t="s">
        <v>22</v>
      </c>
      <c r="E112" s="230">
        <f>'инновации+добровольчество0,3664'!D239</f>
        <v>0.3664</v>
      </c>
    </row>
    <row r="113" spans="1:5" ht="17.25" customHeight="1" x14ac:dyDescent="0.25">
      <c r="A113" s="613"/>
      <c r="B113" s="612"/>
      <c r="C113" s="121" t="str">
        <f>'инновации+добровольчество0,3664'!A240</f>
        <v>Работы по специальной оценке условий труда</v>
      </c>
      <c r="D113" s="113" t="s">
        <v>22</v>
      </c>
      <c r="E113" s="230">
        <f>'инновации+добровольчество0,3664'!D240</f>
        <v>0.3664</v>
      </c>
    </row>
    <row r="114" spans="1:5" ht="35.25" customHeight="1" x14ac:dyDescent="0.25">
      <c r="A114" s="613"/>
      <c r="B114" s="612"/>
      <c r="C114" s="121" t="str">
        <f>'инновации+добровольчество0,3664'!A241</f>
        <v>Оценка профессиональных рисков охраны труда</v>
      </c>
      <c r="D114" s="113" t="s">
        <v>22</v>
      </c>
      <c r="E114" s="230">
        <f>'инновации+добровольчество0,3664'!D241</f>
        <v>0.3664</v>
      </c>
    </row>
    <row r="115" spans="1:5" ht="20.25" customHeight="1" x14ac:dyDescent="0.25">
      <c r="A115" s="613"/>
      <c r="B115" s="612"/>
      <c r="C115" s="121" t="str">
        <f>'инновации+добровольчество0,3664'!A242</f>
        <v>Изготовление площадки на заднем дворе учреждения</v>
      </c>
      <c r="D115" s="113" t="s">
        <v>22</v>
      </c>
      <c r="E115" s="230">
        <f>'инновации+добровольчество0,3664'!D242</f>
        <v>0.3664</v>
      </c>
    </row>
    <row r="116" spans="1:5" x14ac:dyDescent="0.25">
      <c r="A116" s="613"/>
      <c r="B116" s="612"/>
      <c r="C116" s="121" t="str">
        <f>'инновации+добровольчество0,3664'!A243</f>
        <v>Предрейсовое медицинское обследование 200дней*85руб</v>
      </c>
      <c r="D116" s="113" t="s">
        <v>22</v>
      </c>
      <c r="E116" s="230">
        <f>'инновации+добровольчество0,3664'!D243</f>
        <v>153.88800000000001</v>
      </c>
    </row>
    <row r="117" spans="1:5" ht="18" customHeight="1" x14ac:dyDescent="0.25">
      <c r="A117" s="613"/>
      <c r="B117" s="612"/>
      <c r="C117" s="121" t="str">
        <f>'инновации+добровольчество0,3664'!A244</f>
        <v xml:space="preserve">Услуги охраны  </v>
      </c>
      <c r="D117" s="113" t="s">
        <v>22</v>
      </c>
      <c r="E117" s="230">
        <f>'инновации+добровольчество0,3664'!D244</f>
        <v>4.3967999999999998</v>
      </c>
    </row>
    <row r="118" spans="1:5" ht="12" customHeight="1" x14ac:dyDescent="0.25">
      <c r="A118" s="613"/>
      <c r="B118" s="612"/>
      <c r="C118" s="121" t="str">
        <f>'инновации+добровольчество0,3664'!A245</f>
        <v>Обслуживание систем охранных средств сигнализации (тревожная кнопка)</v>
      </c>
      <c r="D118" s="113" t="s">
        <v>22</v>
      </c>
      <c r="E118" s="230">
        <f>'инновации+добровольчество0,3664'!D245</f>
        <v>4.3967999999999998</v>
      </c>
    </row>
    <row r="119" spans="1:5" ht="21" customHeight="1" x14ac:dyDescent="0.25">
      <c r="A119" s="613"/>
      <c r="B119" s="612"/>
      <c r="C119" s="121" t="str">
        <f>'инновации+добровольчество0,3664'!A246</f>
        <v>Медосмотр при устройстве на работу</v>
      </c>
      <c r="D119" s="113" t="s">
        <v>22</v>
      </c>
      <c r="E119" s="230">
        <f>'инновации+добровольчество0,3664'!D246</f>
        <v>1.4656</v>
      </c>
    </row>
    <row r="120" spans="1:5" ht="21" customHeight="1" x14ac:dyDescent="0.25">
      <c r="A120" s="613"/>
      <c r="B120" s="612"/>
      <c r="C120" s="121" t="str">
        <f>'инновации+добровольчество0,3664'!A247</f>
        <v>Страховая премия по полису ОСАГО за УАЗ</v>
      </c>
      <c r="D120" s="113" t="s">
        <v>22</v>
      </c>
      <c r="E120" s="230">
        <f>'инновации+добровольчество0,3664'!D247</f>
        <v>0.3664</v>
      </c>
    </row>
    <row r="121" spans="1:5" ht="21" customHeight="1" x14ac:dyDescent="0.25">
      <c r="A121" s="613"/>
      <c r="B121" s="612"/>
      <c r="C121" s="121" t="str">
        <f>'инновации+добровольчество0,3664'!A248</f>
        <v>Диагностика бытовой и оргтехники для определения возможности ее дальнейшего использования (244/226)</v>
      </c>
      <c r="D121" s="113" t="s">
        <v>22</v>
      </c>
      <c r="E121" s="230">
        <f>'инновации+добровольчество0,3664'!D248</f>
        <v>0.3664</v>
      </c>
    </row>
    <row r="122" spans="1:5" ht="21" customHeight="1" x14ac:dyDescent="0.25">
      <c r="A122" s="613"/>
      <c r="B122" s="612"/>
      <c r="C122" s="121" t="str">
        <f>'инновации+добровольчество0,3664'!A249</f>
        <v>Изготовление снежных фигур</v>
      </c>
      <c r="D122" s="113" t="s">
        <v>22</v>
      </c>
      <c r="E122" s="230">
        <f>'инновации+добровольчество0,3664'!D249</f>
        <v>0.3664</v>
      </c>
    </row>
    <row r="123" spans="1:5" ht="21" customHeight="1" x14ac:dyDescent="0.25">
      <c r="A123" s="613"/>
      <c r="B123" s="612"/>
      <c r="C123" s="121" t="str">
        <f>'инновации+добровольчество0,3664'!A250</f>
        <v>Приобретение программного обеспечения</v>
      </c>
      <c r="D123" s="113" t="s">
        <v>22</v>
      </c>
      <c r="E123" s="230">
        <f>'инновации+добровольчество0,3664'!D250</f>
        <v>0.73280000000000001</v>
      </c>
    </row>
    <row r="124" spans="1:5" ht="21" customHeight="1" x14ac:dyDescent="0.25">
      <c r="A124" s="613"/>
      <c r="B124" s="612"/>
      <c r="C124" s="121" t="str">
        <f>'инновации+добровольчество0,3664'!A251</f>
        <v>Оплата пени, штрафов (853/291)</v>
      </c>
      <c r="D124" s="113" t="s">
        <v>22</v>
      </c>
      <c r="E124" s="230">
        <f>'инновации+добровольчество0,3664'!D251</f>
        <v>1.8320000000000001</v>
      </c>
    </row>
    <row r="125" spans="1:5" ht="21" hidden="1" customHeight="1" x14ac:dyDescent="0.25">
      <c r="A125" s="613"/>
      <c r="B125" s="612"/>
      <c r="C125" s="121">
        <f>'инновации+добровольчество0,3664'!A252</f>
        <v>0</v>
      </c>
      <c r="D125" s="113" t="s">
        <v>22</v>
      </c>
      <c r="E125" s="230" t="e">
        <f>'инновации+добровольчество0,3664'!#REF!</f>
        <v>#REF!</v>
      </c>
    </row>
    <row r="126" spans="1:5" ht="21" hidden="1" customHeight="1" x14ac:dyDescent="0.25">
      <c r="A126" s="613"/>
      <c r="B126" s="612"/>
      <c r="C126" s="121">
        <f>'инновации+добровольчество0,3664'!A253</f>
        <v>0</v>
      </c>
      <c r="D126" s="113" t="s">
        <v>22</v>
      </c>
      <c r="E126" s="230">
        <f>'инновации+добровольчество0,3664'!D251</f>
        <v>1.8320000000000001</v>
      </c>
    </row>
    <row r="127" spans="1:5" ht="21" hidden="1" customHeight="1" x14ac:dyDescent="0.25">
      <c r="A127" s="613"/>
      <c r="B127" s="612"/>
      <c r="C127" s="121">
        <f>'инновации+добровольчество0,3664'!A252</f>
        <v>0</v>
      </c>
      <c r="D127" s="113" t="s">
        <v>22</v>
      </c>
      <c r="E127" s="230">
        <f>'инновации+добровольчество0,3664'!$D252</f>
        <v>0</v>
      </c>
    </row>
    <row r="128" spans="1:5" ht="21" hidden="1" customHeight="1" x14ac:dyDescent="0.25">
      <c r="A128" s="613"/>
      <c r="B128" s="612"/>
      <c r="C128" s="121">
        <f>'инновации+добровольчество0,3664'!A253</f>
        <v>0</v>
      </c>
      <c r="D128" s="113" t="s">
        <v>22</v>
      </c>
      <c r="E128" s="230">
        <f>'инновации+добровольчество0,3664'!$D253</f>
        <v>0</v>
      </c>
    </row>
    <row r="129" spans="1:5" ht="21" hidden="1" customHeight="1" x14ac:dyDescent="0.25">
      <c r="A129" s="613"/>
      <c r="B129" s="612"/>
      <c r="C129" s="121">
        <f>'инновации+добровольчество0,3664'!A254</f>
        <v>0</v>
      </c>
      <c r="D129" s="113" t="s">
        <v>22</v>
      </c>
      <c r="E129" s="230">
        <f>'инновации+добровольчество0,3664'!$D254</f>
        <v>0</v>
      </c>
    </row>
    <row r="130" spans="1:5" ht="21" hidden="1" customHeight="1" x14ac:dyDescent="0.25">
      <c r="A130" s="613"/>
      <c r="B130" s="612"/>
      <c r="C130" s="121">
        <f>'инновации+добровольчество0,3664'!A255</f>
        <v>0</v>
      </c>
      <c r="D130" s="113" t="s">
        <v>22</v>
      </c>
      <c r="E130" s="230">
        <f>'инновации+добровольчество0,3664'!$D255</f>
        <v>0</v>
      </c>
    </row>
    <row r="131" spans="1:5" ht="21" hidden="1" customHeight="1" x14ac:dyDescent="0.25">
      <c r="A131" s="613"/>
      <c r="B131" s="612"/>
      <c r="C131" s="121">
        <f>'инновации+добровольчество0,3664'!A256</f>
        <v>0</v>
      </c>
      <c r="D131" s="113" t="s">
        <v>22</v>
      </c>
      <c r="E131" s="230">
        <f>'инновации+добровольчество0,3664'!$D256</f>
        <v>0</v>
      </c>
    </row>
    <row r="132" spans="1:5" ht="21" hidden="1" customHeight="1" x14ac:dyDescent="0.25">
      <c r="A132" s="613"/>
      <c r="B132" s="612"/>
      <c r="C132" s="121">
        <f>'инновации+добровольчество0,3664'!A257</f>
        <v>0</v>
      </c>
      <c r="D132" s="113" t="s">
        <v>22</v>
      </c>
      <c r="E132" s="230">
        <f>'инновации+добровольчество0,3664'!$D257</f>
        <v>0</v>
      </c>
    </row>
    <row r="133" spans="1:5" ht="21" hidden="1" customHeight="1" x14ac:dyDescent="0.25">
      <c r="A133" s="613"/>
      <c r="B133" s="612"/>
      <c r="C133" s="121">
        <f>'инновации+добровольчество0,3664'!A258</f>
        <v>0</v>
      </c>
      <c r="D133" s="113" t="s">
        <v>22</v>
      </c>
      <c r="E133" s="230">
        <f>'инновации+добровольчество0,3664'!$D258</f>
        <v>0</v>
      </c>
    </row>
    <row r="134" spans="1:5" ht="21" hidden="1" customHeight="1" x14ac:dyDescent="0.25">
      <c r="A134" s="613"/>
      <c r="B134" s="612"/>
      <c r="C134" s="121">
        <f>'инновации+добровольчество0,3664'!A259</f>
        <v>0</v>
      </c>
      <c r="D134" s="113" t="s">
        <v>22</v>
      </c>
      <c r="E134" s="230">
        <f>'инновации+добровольчество0,3664'!$D259</f>
        <v>0</v>
      </c>
    </row>
    <row r="135" spans="1:5" ht="21" hidden="1" customHeight="1" x14ac:dyDescent="0.25">
      <c r="A135" s="613"/>
      <c r="B135" s="612"/>
      <c r="C135" s="121">
        <f>'инновации+добровольчество0,3664'!A260</f>
        <v>0</v>
      </c>
      <c r="D135" s="113" t="s">
        <v>22</v>
      </c>
      <c r="E135" s="230">
        <f>'инновации+добровольчество0,3664'!$D260</f>
        <v>0</v>
      </c>
    </row>
    <row r="136" spans="1:5" ht="21" hidden="1" customHeight="1" x14ac:dyDescent="0.25">
      <c r="A136" s="613"/>
      <c r="B136" s="612"/>
      <c r="C136" s="121">
        <f>'инновации+добровольчество0,3664'!A261</f>
        <v>0</v>
      </c>
      <c r="D136" s="113" t="s">
        <v>22</v>
      </c>
      <c r="E136" s="230">
        <f>'инновации+добровольчество0,3664'!$D261</f>
        <v>0</v>
      </c>
    </row>
    <row r="137" spans="1:5" ht="21" hidden="1" customHeight="1" x14ac:dyDescent="0.25">
      <c r="A137" s="613"/>
      <c r="B137" s="612"/>
      <c r="C137" s="121">
        <f>'инновации+добровольчество0,3664'!A262</f>
        <v>0</v>
      </c>
      <c r="D137" s="113" t="s">
        <v>22</v>
      </c>
      <c r="E137" s="230">
        <f>'инновации+добровольчество0,3664'!$D262</f>
        <v>0</v>
      </c>
    </row>
    <row r="138" spans="1:5" ht="21" customHeight="1" x14ac:dyDescent="0.25">
      <c r="A138" s="613"/>
      <c r="B138" s="612"/>
      <c r="C138" s="623" t="s">
        <v>138</v>
      </c>
      <c r="D138" s="624"/>
      <c r="E138" s="625"/>
    </row>
    <row r="139" spans="1:5" ht="21" customHeight="1" x14ac:dyDescent="0.25">
      <c r="A139" s="613"/>
      <c r="B139" s="612"/>
      <c r="C139" s="115" t="str">
        <f>'инновации+добровольчество0,3664'!A210</f>
        <v>переговоры по району, мин</v>
      </c>
      <c r="D139" s="140" t="s">
        <v>86</v>
      </c>
      <c r="E139" s="230">
        <f>'инновации+добровольчество0,3664'!D210</f>
        <v>0</v>
      </c>
    </row>
    <row r="140" spans="1:5" ht="21" customHeight="1" x14ac:dyDescent="0.25">
      <c r="A140" s="613"/>
      <c r="B140" s="612"/>
      <c r="C140" s="115" t="str">
        <f>'инновации+добровольчество0,3664'!A211</f>
        <v>Переговоры за пределами района,мин</v>
      </c>
      <c r="D140" s="140" t="s">
        <v>22</v>
      </c>
      <c r="E140" s="230">
        <f>'инновации+добровольчество0,3664'!D211</f>
        <v>13.74</v>
      </c>
    </row>
    <row r="141" spans="1:5" ht="21" customHeight="1" x14ac:dyDescent="0.25">
      <c r="A141" s="613"/>
      <c r="B141" s="612"/>
      <c r="C141" s="115" t="str">
        <f>'инновации+добровольчество0,3664'!A212</f>
        <v>Абоненская плата за услуги связи, номеров</v>
      </c>
      <c r="D141" s="140" t="s">
        <v>37</v>
      </c>
      <c r="E141" s="230">
        <f>'инновации+добровольчество0,3664'!D212</f>
        <v>0.3664</v>
      </c>
    </row>
    <row r="142" spans="1:5" ht="21" customHeight="1" x14ac:dyDescent="0.25">
      <c r="A142" s="613"/>
      <c r="B142" s="612"/>
      <c r="C142" s="115" t="str">
        <f>'инновации+добровольчество0,3664'!A213</f>
        <v xml:space="preserve">Абоненская плата за услуги Интернет </v>
      </c>
      <c r="D142" s="140" t="s">
        <v>37</v>
      </c>
      <c r="E142" s="230">
        <f>'инновации+добровольчество0,3664'!D213</f>
        <v>0.3664</v>
      </c>
    </row>
    <row r="143" spans="1:5" ht="21" customHeight="1" x14ac:dyDescent="0.25">
      <c r="A143" s="613"/>
      <c r="B143" s="612"/>
      <c r="C143" s="115" t="str">
        <f>'инновации+добровольчество0,3664'!A214</f>
        <v>Почтовые конверты</v>
      </c>
      <c r="D143" s="140" t="s">
        <v>38</v>
      </c>
      <c r="E143" s="230">
        <f>'инновации+добровольчество0,3664'!D214</f>
        <v>0.3664</v>
      </c>
    </row>
    <row r="144" spans="1:5" ht="16.149999999999999" hidden="1" customHeight="1" x14ac:dyDescent="0.25">
      <c r="A144" s="613"/>
      <c r="B144" s="612"/>
      <c r="C144" s="115" t="e">
        <f>'инновации+добровольчество0,3664'!#REF!</f>
        <v>#REF!</v>
      </c>
      <c r="D144" s="140" t="s">
        <v>38</v>
      </c>
      <c r="E144" s="230" t="e">
        <f>'инновации+добровольчество0,3664'!#REF!</f>
        <v>#REF!</v>
      </c>
    </row>
    <row r="145" spans="1:5" ht="15.6" hidden="1" customHeight="1" x14ac:dyDescent="0.25">
      <c r="A145" s="613"/>
      <c r="B145" s="612"/>
      <c r="C145" s="115" t="e">
        <f>'инновации+добровольчество0,3664'!#REF!</f>
        <v>#REF!</v>
      </c>
      <c r="D145" s="140" t="s">
        <v>22</v>
      </c>
      <c r="E145" s="230" t="e">
        <f>'инновации+добровольчество0,3664'!#REF!</f>
        <v>#REF!</v>
      </c>
    </row>
    <row r="146" spans="1:5" s="576" customFormat="1" ht="12" customHeight="1" x14ac:dyDescent="0.2">
      <c r="A146" s="613"/>
      <c r="B146" s="612"/>
      <c r="C146" s="626" t="s">
        <v>139</v>
      </c>
      <c r="D146" s="627"/>
      <c r="E146" s="628"/>
    </row>
    <row r="147" spans="1:5" s="576" customFormat="1" ht="12" customHeight="1" x14ac:dyDescent="0.2">
      <c r="A147" s="613"/>
      <c r="B147" s="612"/>
      <c r="C147" s="107" t="s">
        <v>187</v>
      </c>
      <c r="D147" s="577" t="s">
        <v>143</v>
      </c>
      <c r="E147" s="231">
        <f>'инновации+добровольчество0,3664'!D160</f>
        <v>0.3664</v>
      </c>
    </row>
    <row r="148" spans="1:5" s="576" customFormat="1" ht="12" customHeight="1" x14ac:dyDescent="0.2">
      <c r="A148" s="613"/>
      <c r="B148" s="612"/>
      <c r="C148" s="116" t="s">
        <v>141</v>
      </c>
      <c r="D148" s="577" t="s">
        <v>134</v>
      </c>
      <c r="E148" s="231">
        <f>'инновации+добровольчество0,3664'!D161</f>
        <v>0.3664</v>
      </c>
    </row>
    <row r="149" spans="1:5" s="576" customFormat="1" ht="12" customHeight="1" x14ac:dyDescent="0.2">
      <c r="A149" s="613"/>
      <c r="B149" s="612"/>
      <c r="C149" s="116" t="s">
        <v>87</v>
      </c>
      <c r="D149" s="577" t="s">
        <v>134</v>
      </c>
      <c r="E149" s="231">
        <f>'инновации+добровольчество0,3664'!D162</f>
        <v>0.1832</v>
      </c>
    </row>
    <row r="150" spans="1:5" s="576" customFormat="1" ht="12" customHeight="1" x14ac:dyDescent="0.2">
      <c r="A150" s="613"/>
      <c r="B150" s="612"/>
      <c r="C150" s="116" t="s">
        <v>142</v>
      </c>
      <c r="D150" s="577" t="s">
        <v>134</v>
      </c>
      <c r="E150" s="231">
        <f>'инновации+добровольчество0,3664'!D163</f>
        <v>0.3664</v>
      </c>
    </row>
    <row r="151" spans="1:5" s="576" customFormat="1" ht="12" customHeight="1" x14ac:dyDescent="0.2">
      <c r="A151" s="613"/>
      <c r="B151" s="612"/>
      <c r="C151" s="606" t="s">
        <v>146</v>
      </c>
      <c r="D151" s="607"/>
      <c r="E151" s="608"/>
    </row>
    <row r="152" spans="1:5" s="576" customFormat="1" ht="12" customHeight="1" x14ac:dyDescent="0.2">
      <c r="A152" s="613"/>
      <c r="B152" s="612"/>
      <c r="C152" s="436" t="str">
        <f>'инновации+добровольчество0,3664'!A180</f>
        <v>Пособие по уходу за ребенком до 3-х лет</v>
      </c>
      <c r="D152" s="118" t="s">
        <v>122</v>
      </c>
      <c r="E152" s="227">
        <f>E147</f>
        <v>0.3664</v>
      </c>
    </row>
    <row r="153" spans="1:5" s="576" customFormat="1" ht="12" hidden="1" customHeight="1" x14ac:dyDescent="0.2">
      <c r="A153" s="613"/>
      <c r="B153" s="612"/>
      <c r="C153" s="626" t="s">
        <v>147</v>
      </c>
      <c r="D153" s="627"/>
      <c r="E153" s="628"/>
    </row>
    <row r="154" spans="1:5" s="576" customFormat="1" ht="12" hidden="1" customHeight="1" x14ac:dyDescent="0.2">
      <c r="A154" s="613"/>
      <c r="B154" s="612"/>
      <c r="C154" s="117" t="s">
        <v>196</v>
      </c>
      <c r="D154" s="498" t="s">
        <v>39</v>
      </c>
      <c r="E154" s="223">
        <f>'инновации+добровольчество0,3664'!E201</f>
        <v>0.3664</v>
      </c>
    </row>
    <row r="155" spans="1:5" ht="28.15" hidden="1" customHeight="1" x14ac:dyDescent="0.25">
      <c r="A155" s="613"/>
      <c r="B155" s="612"/>
      <c r="C155" s="117" t="s">
        <v>197</v>
      </c>
      <c r="D155" s="498" t="s">
        <v>39</v>
      </c>
      <c r="E155" s="223">
        <f>'инновации+добровольчество0,3664'!E202</f>
        <v>0.33500000000000002</v>
      </c>
    </row>
    <row r="156" spans="1:5" ht="28.15" hidden="1" customHeight="1" x14ac:dyDescent="0.25">
      <c r="A156" s="613"/>
      <c r="B156" s="612"/>
      <c r="C156" s="117" t="s">
        <v>198</v>
      </c>
      <c r="D156" s="498" t="s">
        <v>39</v>
      </c>
      <c r="E156" s="223">
        <f>'инновации+добровольчество0,3664'!E203</f>
        <v>0.33500000000000002</v>
      </c>
    </row>
    <row r="157" spans="1:5" ht="28.15" customHeight="1" x14ac:dyDescent="0.25">
      <c r="A157" s="613"/>
      <c r="B157" s="612"/>
      <c r="C157" s="609" t="s">
        <v>148</v>
      </c>
      <c r="D157" s="610"/>
      <c r="E157" s="611"/>
    </row>
    <row r="158" spans="1:5" ht="28.15" hidden="1" customHeight="1" x14ac:dyDescent="0.25">
      <c r="A158" s="613"/>
      <c r="B158" s="612"/>
      <c r="C158" s="119" t="str">
        <f>'инновации+добровольчество0,3664'!A221</f>
        <v>Проезд к месту учебы</v>
      </c>
      <c r="D158" s="120" t="s">
        <v>122</v>
      </c>
      <c r="E158" s="83">
        <f>'инновации+добровольчество0,3664'!D221</f>
        <v>0</v>
      </c>
    </row>
    <row r="159" spans="1:5" ht="22.15" customHeight="1" x14ac:dyDescent="0.25">
      <c r="A159" s="613"/>
      <c r="B159" s="612"/>
      <c r="C159" s="119" t="str">
        <f>'инновации+добровольчество0,3664'!A222</f>
        <v>Провоз груза 2000 кг (1 кг=9,50 руб)</v>
      </c>
      <c r="D159" s="120" t="s">
        <v>22</v>
      </c>
      <c r="E159" s="83">
        <f>'инновации+добровольчество0,3664'!D222</f>
        <v>0.3664</v>
      </c>
    </row>
    <row r="160" spans="1:5" ht="18" customHeight="1" x14ac:dyDescent="0.25">
      <c r="A160" s="613"/>
      <c r="B160" s="612"/>
      <c r="C160" s="623" t="s">
        <v>149</v>
      </c>
      <c r="D160" s="624"/>
      <c r="E160" s="625"/>
    </row>
    <row r="161" spans="1:5" ht="18.75" customHeight="1" x14ac:dyDescent="0.25">
      <c r="A161" s="613"/>
      <c r="B161" s="612"/>
      <c r="C161" s="108" t="str">
        <f>'инновации+добровольчество0,3664'!A269</f>
        <v>Обучение персонала</v>
      </c>
      <c r="D161" s="67" t="str">
        <f>'инновации+добровольчество0,3664'!B269</f>
        <v>договор</v>
      </c>
      <c r="E161" s="163">
        <f>'инновации+добровольчество0,3664'!D269</f>
        <v>0.73280000000000001</v>
      </c>
    </row>
    <row r="162" spans="1:5" ht="13.5" customHeight="1" x14ac:dyDescent="0.25">
      <c r="A162" s="613"/>
      <c r="B162" s="612"/>
      <c r="C162" s="108" t="str">
        <f>'инновации+добровольчество0,3664'!A270</f>
        <v>Переподготовка</v>
      </c>
      <c r="D162" s="67" t="str">
        <f>'инновации+добровольчество0,3664'!B270</f>
        <v>договор</v>
      </c>
      <c r="E162" s="163">
        <f>'инновации+добровольчество0,3664'!D270</f>
        <v>1.0992</v>
      </c>
    </row>
    <row r="163" spans="1:5" ht="16.5" customHeight="1" x14ac:dyDescent="0.25">
      <c r="A163" s="613"/>
      <c r="B163" s="612"/>
      <c r="C163" s="108" t="str">
        <f>'инновации+добровольчество0,3664'!A271</f>
        <v>Пиломатериал</v>
      </c>
      <c r="D163" s="67" t="str">
        <f>'инновации+добровольчество0,3664'!B271</f>
        <v>шт</v>
      </c>
      <c r="E163" s="163">
        <f>'инновации+добровольчество0,3664'!D271</f>
        <v>2.5648</v>
      </c>
    </row>
    <row r="164" spans="1:5" ht="17.25" customHeight="1" x14ac:dyDescent="0.25">
      <c r="A164" s="613"/>
      <c r="B164" s="612"/>
      <c r="C164" s="108" t="str">
        <f>'инновации+добровольчество0,3664'!A272</f>
        <v>Тонеры для картриджей Kyocera</v>
      </c>
      <c r="D164" s="67" t="str">
        <f>'инновации+добровольчество0,3664'!B272</f>
        <v>шт</v>
      </c>
      <c r="E164" s="163">
        <f>'инновации+добровольчество0,3664'!D272</f>
        <v>1.8320000000000001</v>
      </c>
    </row>
    <row r="165" spans="1:5" ht="18.75" customHeight="1" x14ac:dyDescent="0.25">
      <c r="A165" s="613"/>
      <c r="B165" s="612"/>
      <c r="C165" s="108" t="str">
        <f>'инновации+добровольчество0,3664'!A273</f>
        <v>Комплект тонеров для цветного принтера Canon</v>
      </c>
      <c r="D165" s="67" t="str">
        <f>'инновации+добровольчество0,3664'!B273</f>
        <v>шт</v>
      </c>
      <c r="E165" s="163">
        <f>'инновации+добровольчество0,3664'!D273</f>
        <v>1.8320000000000001</v>
      </c>
    </row>
    <row r="166" spans="1:5" ht="18.75" customHeight="1" x14ac:dyDescent="0.25">
      <c r="A166" s="613"/>
      <c r="B166" s="612"/>
      <c r="C166" s="108" t="str">
        <f>'инновации+добровольчество0,3664'!A274</f>
        <v>Комплект тонера для цветного принтера Hp</v>
      </c>
      <c r="D166" s="67" t="str">
        <f>'инновации+добровольчество0,3664'!B274</f>
        <v>шт</v>
      </c>
      <c r="E166" s="163">
        <f>'инновации+добровольчество0,3664'!D274</f>
        <v>0.73280000000000001</v>
      </c>
    </row>
    <row r="167" spans="1:5" ht="24" customHeight="1" x14ac:dyDescent="0.25">
      <c r="A167" s="613"/>
      <c r="B167" s="612"/>
      <c r="C167" s="108" t="str">
        <f>'инновации+добровольчество0,3664'!A275</f>
        <v>Флеш накопители  16 гб</v>
      </c>
      <c r="D167" s="67" t="str">
        <f>'инновации+добровольчество0,3664'!B275</f>
        <v>шт</v>
      </c>
      <c r="E167" s="163">
        <f>'инновации+добровольчество0,3664'!D275</f>
        <v>2.5648</v>
      </c>
    </row>
    <row r="168" spans="1:5" ht="24" customHeight="1" x14ac:dyDescent="0.25">
      <c r="A168" s="613"/>
      <c r="B168" s="612"/>
      <c r="C168" s="108" t="str">
        <f>'инновации+добровольчество0,3664'!A276</f>
        <v>Флеш накопители  64 гб</v>
      </c>
      <c r="D168" s="67" t="str">
        <f>'инновации+добровольчество0,3664'!B276</f>
        <v>шт</v>
      </c>
      <c r="E168" s="163">
        <f>'инновации+добровольчество0,3664'!D276</f>
        <v>1.8320000000000001</v>
      </c>
    </row>
    <row r="169" spans="1:5" ht="18.600000000000001" customHeight="1" x14ac:dyDescent="0.25">
      <c r="A169" s="613"/>
      <c r="B169" s="612"/>
      <c r="C169" s="108" t="str">
        <f>'инновации+добровольчество0,3664'!A277</f>
        <v>Мышь USB</v>
      </c>
      <c r="D169" s="67" t="str">
        <f>'инновации+добровольчество0,3664'!B277</f>
        <v>шт</v>
      </c>
      <c r="E169" s="163">
        <f>'инновации+добровольчество0,3664'!D277</f>
        <v>1.4656</v>
      </c>
    </row>
    <row r="170" spans="1:5" ht="15.6" customHeight="1" x14ac:dyDescent="0.25">
      <c r="A170" s="613"/>
      <c r="B170" s="612"/>
      <c r="C170" s="108" t="str">
        <f>'инновации+добровольчество0,3664'!A278</f>
        <v xml:space="preserve">Мешки для мусора </v>
      </c>
      <c r="D170" s="67" t="str">
        <f>'инновации+добровольчество0,3664'!B278</f>
        <v>шт</v>
      </c>
      <c r="E170" s="163">
        <f>'инновации+добровольчество0,3664'!D278</f>
        <v>36.64</v>
      </c>
    </row>
    <row r="171" spans="1:5" ht="12" customHeight="1" x14ac:dyDescent="0.25">
      <c r="A171" s="613"/>
      <c r="B171" s="612"/>
      <c r="C171" s="108" t="str">
        <f>'инновации+добровольчество0,3664'!A279</f>
        <v>Жидкое мыло</v>
      </c>
      <c r="D171" s="67" t="str">
        <f>'инновации+добровольчество0,3664'!B279</f>
        <v>шт</v>
      </c>
      <c r="E171" s="163">
        <f>'инновации+добровольчество0,3664'!D279</f>
        <v>5.4960000000000004</v>
      </c>
    </row>
    <row r="172" spans="1:5" ht="12" customHeight="1" x14ac:dyDescent="0.25">
      <c r="A172" s="613"/>
      <c r="B172" s="612"/>
      <c r="C172" s="108" t="str">
        <f>'инновации+добровольчество0,3664'!A280</f>
        <v>Туалетная бумага</v>
      </c>
      <c r="D172" s="67" t="str">
        <f>'инновации+добровольчество0,3664'!B280</f>
        <v>шт</v>
      </c>
      <c r="E172" s="163">
        <f>'инновации+добровольчество0,3664'!D280</f>
        <v>36.64</v>
      </c>
    </row>
    <row r="173" spans="1:5" ht="12" customHeight="1" x14ac:dyDescent="0.25">
      <c r="A173" s="613"/>
      <c r="B173" s="612"/>
      <c r="C173" s="108" t="str">
        <f>'инновации+добровольчество0,3664'!A281</f>
        <v>Тряпки для мытья</v>
      </c>
      <c r="D173" s="67" t="str">
        <f>'инновации+добровольчество0,3664'!B281</f>
        <v>шт</v>
      </c>
      <c r="E173" s="163">
        <f>'инновации+добровольчество0,3664'!D281</f>
        <v>14.656000000000001</v>
      </c>
    </row>
    <row r="174" spans="1:5" ht="12" customHeight="1" x14ac:dyDescent="0.25">
      <c r="A174" s="613"/>
      <c r="B174" s="612"/>
      <c r="C174" s="108" t="str">
        <f>'инновации+добровольчество0,3664'!A282</f>
        <v>Бытовая химия</v>
      </c>
      <c r="D174" s="67" t="str">
        <f>'инновации+добровольчество0,3664'!B282</f>
        <v>шт</v>
      </c>
      <c r="E174" s="163">
        <f>'инновации+добровольчество0,3664'!D282</f>
        <v>7.3280000000000003</v>
      </c>
    </row>
    <row r="175" spans="1:5" ht="12" customHeight="1" x14ac:dyDescent="0.25">
      <c r="A175" s="613"/>
      <c r="B175" s="612"/>
      <c r="C175" s="108" t="str">
        <f>'инновации+добровольчество0,3664'!A283</f>
        <v>Фанера</v>
      </c>
      <c r="D175" s="67" t="str">
        <f>'инновации+добровольчество0,3664'!B283</f>
        <v>шт</v>
      </c>
      <c r="E175" s="163">
        <f>'инновации+добровольчество0,3664'!D283</f>
        <v>10.992000000000001</v>
      </c>
    </row>
    <row r="176" spans="1:5" ht="12" customHeight="1" x14ac:dyDescent="0.25">
      <c r="A176" s="613"/>
      <c r="B176" s="612"/>
      <c r="C176" s="108" t="str">
        <f>'инновации+добровольчество0,3664'!A284</f>
        <v>Антифриз</v>
      </c>
      <c r="D176" s="67" t="str">
        <f>'инновации+добровольчество0,3664'!B284</f>
        <v>шт</v>
      </c>
      <c r="E176" s="163">
        <f>'инновации+добровольчество0,3664'!D284</f>
        <v>7.3280000000000003</v>
      </c>
    </row>
    <row r="177" spans="1:5" ht="12" customHeight="1" x14ac:dyDescent="0.25">
      <c r="A177" s="613"/>
      <c r="B177" s="612"/>
      <c r="C177" s="108" t="str">
        <f>'инновации+добровольчество0,3664'!A285</f>
        <v>Баннера</v>
      </c>
      <c r="D177" s="67" t="str">
        <f>'инновации+добровольчество0,3664'!B285</f>
        <v>шт</v>
      </c>
      <c r="E177" s="163">
        <f>'инновации+добровольчество0,3664'!D285</f>
        <v>1.8320000000000001</v>
      </c>
    </row>
    <row r="178" spans="1:5" ht="12" customHeight="1" x14ac:dyDescent="0.25">
      <c r="A178" s="613"/>
      <c r="B178" s="612"/>
      <c r="C178" s="108" t="str">
        <f>'инновации+добровольчество0,3664'!A286</f>
        <v>Гвозди</v>
      </c>
      <c r="D178" s="67" t="str">
        <f>'инновации+добровольчество0,3664'!B286</f>
        <v>шт</v>
      </c>
      <c r="E178" s="163">
        <f>'инновации+добровольчество0,3664'!D286</f>
        <v>7.3280000000000003</v>
      </c>
    </row>
    <row r="179" spans="1:5" ht="12" customHeight="1" x14ac:dyDescent="0.25">
      <c r="A179" s="613"/>
      <c r="B179" s="612"/>
      <c r="C179" s="108" t="str">
        <f>'инновации+добровольчество0,3664'!A287</f>
        <v>Саморезы</v>
      </c>
      <c r="D179" s="67" t="str">
        <f>'инновации+добровольчество0,3664'!B287</f>
        <v>шт</v>
      </c>
      <c r="E179" s="163">
        <f>'инновации+добровольчество0,3664'!D287</f>
        <v>18.32</v>
      </c>
    </row>
    <row r="180" spans="1:5" ht="12" customHeight="1" x14ac:dyDescent="0.25">
      <c r="A180" s="613"/>
      <c r="B180" s="612"/>
      <c r="C180" s="108" t="str">
        <f>'инновации+добровольчество0,3664'!A288</f>
        <v>Инструмент металлический ручной</v>
      </c>
      <c r="D180" s="67" t="str">
        <f>'инновации+добровольчество0,3664'!B288</f>
        <v>шт</v>
      </c>
      <c r="E180" s="163">
        <f>'инновации+добровольчество0,3664'!D288</f>
        <v>1.8320000000000001</v>
      </c>
    </row>
    <row r="181" spans="1:5" ht="12" customHeight="1" x14ac:dyDescent="0.25">
      <c r="A181" s="613"/>
      <c r="B181" s="612"/>
      <c r="C181" s="108" t="str">
        <f>'инновации+добровольчество0,3664'!A289</f>
        <v>Краска эмаль</v>
      </c>
      <c r="D181" s="67" t="str">
        <f>'инновации+добровольчество0,3664'!B289</f>
        <v>шт</v>
      </c>
      <c r="E181" s="163">
        <f>'инновации+добровольчество0,3664'!D289</f>
        <v>10.992000000000001</v>
      </c>
    </row>
    <row r="182" spans="1:5" ht="12" hidden="1" customHeight="1" x14ac:dyDescent="0.25">
      <c r="A182" s="613"/>
      <c r="B182" s="612"/>
      <c r="C182" s="108" t="str">
        <f>'инновации+добровольчество0,3664'!A290</f>
        <v>Краска ВДН</v>
      </c>
      <c r="D182" s="67" t="str">
        <f>'инновации+добровольчество0,3664'!B290</f>
        <v>шт</v>
      </c>
      <c r="E182" s="163">
        <f>'инновации+добровольчество0,3664'!D290</f>
        <v>3.6640000000000001</v>
      </c>
    </row>
    <row r="183" spans="1:5" ht="12" hidden="1" customHeight="1" x14ac:dyDescent="0.25">
      <c r="A183" s="613"/>
      <c r="B183" s="612"/>
      <c r="C183" s="108" t="str">
        <f>'инновации+добровольчество0,3664'!A291</f>
        <v>Кисти</v>
      </c>
      <c r="D183" s="67" t="str">
        <f>'инновации+добровольчество0,3664'!B291</f>
        <v>шт</v>
      </c>
      <c r="E183" s="163">
        <f>'инновации+добровольчество0,3664'!D291</f>
        <v>14.656000000000001</v>
      </c>
    </row>
    <row r="184" spans="1:5" ht="12" customHeight="1" x14ac:dyDescent="0.25">
      <c r="A184" s="613"/>
      <c r="B184" s="612"/>
      <c r="C184" s="108" t="str">
        <f>'инновации+добровольчество0,3664'!A292</f>
        <v>Перчатка пвх</v>
      </c>
      <c r="D184" s="67" t="str">
        <f>'инновации+добровольчество0,3664'!B292</f>
        <v>шт</v>
      </c>
      <c r="E184" s="163">
        <f>'инновации+добровольчество0,3664'!D292</f>
        <v>36.64</v>
      </c>
    </row>
    <row r="185" spans="1:5" ht="12" customHeight="1" x14ac:dyDescent="0.25">
      <c r="A185" s="613"/>
      <c r="B185" s="612"/>
      <c r="C185" s="108" t="str">
        <f>'инновации+добровольчество0,3664'!A293</f>
        <v>краска кудо</v>
      </c>
      <c r="D185" s="67" t="str">
        <f>'инновации+добровольчество0,3664'!B293</f>
        <v>шт</v>
      </c>
      <c r="E185" s="163">
        <f>'инновации+добровольчество0,3664'!D293</f>
        <v>10.992000000000001</v>
      </c>
    </row>
    <row r="186" spans="1:5" ht="12" customHeight="1" x14ac:dyDescent="0.25">
      <c r="A186" s="613"/>
      <c r="B186" s="612"/>
      <c r="C186" s="108" t="str">
        <f>'инновации+добровольчество0,3664'!A294</f>
        <v>Валик+ванночка</v>
      </c>
      <c r="D186" s="67" t="str">
        <f>'инновации+добровольчество0,3664'!B294</f>
        <v>шт</v>
      </c>
      <c r="E186" s="163">
        <f>'инновации+добровольчество0,3664'!D294</f>
        <v>3.6640000000000001</v>
      </c>
    </row>
    <row r="187" spans="1:5" ht="12" customHeight="1" x14ac:dyDescent="0.25">
      <c r="A187" s="613"/>
      <c r="B187" s="612"/>
      <c r="C187" s="108" t="str">
        <f>'инновации+добровольчество0,3664'!A295</f>
        <v>Ножницыы</v>
      </c>
      <c r="D187" s="67" t="str">
        <f>'инновации+добровольчество0,3664'!B295</f>
        <v>шт</v>
      </c>
      <c r="E187" s="163">
        <f>'инновации+добровольчество0,3664'!D295</f>
        <v>3.6640000000000001</v>
      </c>
    </row>
    <row r="188" spans="1:5" ht="12" customHeight="1" x14ac:dyDescent="0.25">
      <c r="A188" s="613"/>
      <c r="B188" s="612"/>
      <c r="C188" s="108" t="str">
        <f>'инновации+добровольчество0,3664'!A296</f>
        <v>Канцелярские расходники</v>
      </c>
      <c r="D188" s="67" t="str">
        <f>'инновации+добровольчество0,3664'!B296</f>
        <v>шт</v>
      </c>
      <c r="E188" s="163">
        <f>'инновации+добровольчество0,3664'!D296</f>
        <v>36.64</v>
      </c>
    </row>
    <row r="189" spans="1:5" ht="12" customHeight="1" x14ac:dyDescent="0.25">
      <c r="A189" s="613"/>
      <c r="B189" s="612"/>
      <c r="C189" s="108" t="str">
        <f>'инновации+добровольчество0,3664'!A297</f>
        <v>Канцелярия (ручки, карандаши)</v>
      </c>
      <c r="D189" s="67" t="str">
        <f>'инновации+добровольчество0,3664'!B297</f>
        <v>шт</v>
      </c>
      <c r="E189" s="163">
        <f>'инновации+добровольчество0,3664'!D297</f>
        <v>36.64</v>
      </c>
    </row>
    <row r="190" spans="1:5" ht="12" customHeight="1" x14ac:dyDescent="0.25">
      <c r="A190" s="613"/>
      <c r="B190" s="612"/>
      <c r="C190" s="108" t="str">
        <f>'инновации+добровольчество0,3664'!A298</f>
        <v>Офисные принадлежности (папки, скоросшиватели, файлы)</v>
      </c>
      <c r="D190" s="67" t="str">
        <f>'инновации+добровольчество0,3664'!B298</f>
        <v>шт</v>
      </c>
      <c r="E190" s="163">
        <f>'инновации+добровольчество0,3664'!D298</f>
        <v>36.64</v>
      </c>
    </row>
    <row r="191" spans="1:5" ht="12" customHeight="1" x14ac:dyDescent="0.25">
      <c r="A191" s="613"/>
      <c r="B191" s="612"/>
      <c r="C191" s="108" t="str">
        <f>'инновации+добровольчество0,3664'!A299</f>
        <v>Лампы</v>
      </c>
      <c r="D191" s="67" t="str">
        <f>'инновации+добровольчество0,3664'!B299</f>
        <v>шт</v>
      </c>
      <c r="E191" s="163">
        <f>'инновации+добровольчество0,3664'!D299</f>
        <v>18.32</v>
      </c>
    </row>
    <row r="192" spans="1:5" ht="12" customHeight="1" x14ac:dyDescent="0.25">
      <c r="A192" s="613"/>
      <c r="B192" s="612"/>
      <c r="C192" s="108" t="str">
        <f>'инновации+добровольчество0,3664'!A300</f>
        <v>Батерейки</v>
      </c>
      <c r="D192" s="67" t="str">
        <f>'инновации+добровольчество0,3664'!B300</f>
        <v>шт</v>
      </c>
      <c r="E192" s="163">
        <f>'инновации+добровольчество0,3664'!D300</f>
        <v>73.28</v>
      </c>
    </row>
    <row r="193" spans="1:5" ht="12" customHeight="1" x14ac:dyDescent="0.25">
      <c r="A193" s="613"/>
      <c r="B193" s="612"/>
      <c r="C193" s="108" t="str">
        <f>'инновации+добровольчество0,3664'!A301</f>
        <v>Бумага А4</v>
      </c>
      <c r="D193" s="67" t="str">
        <f>'инновации+добровольчество0,3664'!B301</f>
        <v>шт</v>
      </c>
      <c r="E193" s="163">
        <f>'инновации+добровольчество0,3664'!D301</f>
        <v>36.64</v>
      </c>
    </row>
    <row r="194" spans="1:5" ht="12" customHeight="1" x14ac:dyDescent="0.25">
      <c r="A194" s="613"/>
      <c r="B194" s="612"/>
      <c r="C194" s="108" t="str">
        <f>'инновации+добровольчество0,3664'!A302</f>
        <v>Грабли, лопаты</v>
      </c>
      <c r="D194" s="67" t="str">
        <f>'инновации+добровольчество0,3664'!B302</f>
        <v>шт</v>
      </c>
      <c r="E194" s="163">
        <f>'инновации+добровольчество0,3664'!D302</f>
        <v>3.6640000000000001</v>
      </c>
    </row>
    <row r="195" spans="1:5" ht="12" customHeight="1" x14ac:dyDescent="0.25">
      <c r="A195" s="613"/>
      <c r="B195" s="612"/>
      <c r="C195" s="108" t="str">
        <f>'инновации+добровольчество0,3664'!A303</f>
        <v>ГСМ УАЗ (Масло двигатель)</v>
      </c>
      <c r="D195" s="67" t="str">
        <f>'инновации+добровольчество0,3664'!B303</f>
        <v>шт</v>
      </c>
      <c r="E195" s="163">
        <f>'инновации+добровольчество0,3664'!D303</f>
        <v>7.3280000000000003</v>
      </c>
    </row>
    <row r="196" spans="1:5" ht="12" customHeight="1" x14ac:dyDescent="0.25">
      <c r="A196" s="613"/>
      <c r="B196" s="612"/>
      <c r="C196" s="108" t="str">
        <f>'инновации+добровольчество0,3664'!A304</f>
        <v>ГСМ Бензин</v>
      </c>
      <c r="D196" s="67" t="str">
        <f>'инновации+добровольчество0,3664'!B304</f>
        <v>шт</v>
      </c>
      <c r="E196" s="163">
        <f>'инновации+добровольчество0,3664'!D304</f>
        <v>952.64</v>
      </c>
    </row>
    <row r="197" spans="1:5" ht="15" hidden="1" customHeight="1" x14ac:dyDescent="0.25">
      <c r="A197" s="613"/>
      <c r="B197" s="612"/>
      <c r="C197" s="108">
        <f>'инновации+добровольчество0,3664'!A305</f>
        <v>0</v>
      </c>
      <c r="D197" s="67" t="str">
        <f>'инновации+добровольчество0,3664'!B305</f>
        <v>шт</v>
      </c>
      <c r="E197" s="163">
        <f>'инновации+добровольчество0,3664'!D305</f>
        <v>0.36899999999999999</v>
      </c>
    </row>
    <row r="198" spans="1:5" hidden="1" x14ac:dyDescent="0.25">
      <c r="A198" s="613"/>
      <c r="B198" s="612"/>
      <c r="C198" s="108">
        <f>'инновации+добровольчество0,3664'!A306</f>
        <v>0</v>
      </c>
      <c r="D198" s="67" t="str">
        <f>'инновации+добровольчество0,3664'!B306</f>
        <v>шт</v>
      </c>
      <c r="E198" s="163">
        <f>'инновации+добровольчество0,3664'!D306</f>
        <v>11.808</v>
      </c>
    </row>
    <row r="199" spans="1:5" hidden="1" x14ac:dyDescent="0.25">
      <c r="A199" s="613"/>
      <c r="B199" s="612"/>
      <c r="C199" s="108">
        <f>'инновации+добровольчество0,3664'!A307</f>
        <v>0</v>
      </c>
      <c r="D199" s="67" t="str">
        <f>'инновации+добровольчество0,3664'!B307</f>
        <v>шт</v>
      </c>
      <c r="E199" s="163">
        <f>'инновации+добровольчество0,3664'!D307</f>
        <v>2.5830000000000002</v>
      </c>
    </row>
    <row r="200" spans="1:5" hidden="1" x14ac:dyDescent="0.25">
      <c r="A200" s="613"/>
      <c r="B200" s="612"/>
      <c r="C200" s="108">
        <f>'инновации+добровольчество0,3664'!A308</f>
        <v>0</v>
      </c>
      <c r="D200" s="67" t="str">
        <f>'инновации+добровольчество0,3664'!B308</f>
        <v>шт</v>
      </c>
      <c r="E200" s="163">
        <f>'инновации+добровольчество0,3664'!D308</f>
        <v>0.36899999999999999</v>
      </c>
    </row>
    <row r="201" spans="1:5" hidden="1" x14ac:dyDescent="0.25">
      <c r="A201" s="613"/>
      <c r="B201" s="612"/>
      <c r="C201" s="108">
        <f>'инновации+добровольчество0,3664'!A309</f>
        <v>0</v>
      </c>
      <c r="D201" s="67" t="str">
        <f>'инновации+добровольчество0,3664'!B309</f>
        <v>шт</v>
      </c>
      <c r="E201" s="163">
        <f>'инновации+добровольчество0,3664'!D309</f>
        <v>0.36899999999999999</v>
      </c>
    </row>
    <row r="202" spans="1:5" hidden="1" x14ac:dyDescent="0.25">
      <c r="A202" s="613"/>
      <c r="B202" s="612"/>
      <c r="C202" s="108">
        <f>'инновации+добровольчество0,3664'!A310</f>
        <v>0</v>
      </c>
      <c r="D202" s="67" t="str">
        <f>'инновации+добровольчество0,3664'!B310</f>
        <v>шт</v>
      </c>
      <c r="E202" s="163">
        <f>'инновации+добровольчество0,3664'!D310</f>
        <v>0.36899999999999999</v>
      </c>
    </row>
    <row r="203" spans="1:5" hidden="1" x14ac:dyDescent="0.25">
      <c r="A203" s="613"/>
      <c r="B203" s="612"/>
      <c r="C203" s="108">
        <f>'инновации+добровольчество0,3664'!A311</f>
        <v>0</v>
      </c>
      <c r="D203" s="67" t="str">
        <f>'инновации+добровольчество0,3664'!B311</f>
        <v>шт</v>
      </c>
      <c r="E203" s="163">
        <f>'инновации+добровольчество0,3664'!D311</f>
        <v>3.69</v>
      </c>
    </row>
    <row r="204" spans="1:5" hidden="1" x14ac:dyDescent="0.25">
      <c r="A204" s="613"/>
      <c r="B204" s="612"/>
      <c r="C204" s="108">
        <f>'инновации+добровольчество0,3664'!A312</f>
        <v>0</v>
      </c>
      <c r="D204" s="67" t="str">
        <f>'инновации+добровольчество0,3664'!B312</f>
        <v>шт</v>
      </c>
      <c r="E204" s="163">
        <f>'инновации+добровольчество0,3664'!D312</f>
        <v>7.38</v>
      </c>
    </row>
    <row r="205" spans="1:5" hidden="1" x14ac:dyDescent="0.25">
      <c r="A205" s="613"/>
      <c r="B205" s="612"/>
      <c r="C205" s="108">
        <f>'инновации+добровольчество0,3664'!A313</f>
        <v>0</v>
      </c>
      <c r="D205" s="67" t="str">
        <f>'инновации+добровольчество0,3664'!B313</f>
        <v>шт</v>
      </c>
      <c r="E205" s="163">
        <f>'инновации+добровольчество0,3664'!D313</f>
        <v>913.75470000000007</v>
      </c>
    </row>
    <row r="206" spans="1:5" hidden="1" x14ac:dyDescent="0.25">
      <c r="A206" s="613"/>
      <c r="B206" s="612"/>
      <c r="C206" s="108">
        <f>'инновации+добровольчество0,3664'!A314</f>
        <v>0</v>
      </c>
      <c r="D206" s="67">
        <f>'инновации+добровольчество0,3664'!B319</f>
        <v>0</v>
      </c>
      <c r="E206" s="163">
        <f>'инновации+добровольчество0,3664'!D319</f>
        <v>0</v>
      </c>
    </row>
    <row r="207" spans="1:5" hidden="1" x14ac:dyDescent="0.25">
      <c r="A207" s="613"/>
      <c r="B207" s="612"/>
      <c r="C207" s="108">
        <f>'инновации+добровольчество0,3664'!A315</f>
        <v>0</v>
      </c>
      <c r="D207" s="67">
        <f>'инновации+добровольчество0,3664'!B320</f>
        <v>0</v>
      </c>
      <c r="E207" s="163">
        <f>'инновации+добровольчество0,3664'!D320</f>
        <v>0</v>
      </c>
    </row>
    <row r="208" spans="1:5" hidden="1" x14ac:dyDescent="0.25">
      <c r="A208" s="613"/>
      <c r="B208" s="612"/>
      <c r="C208" s="108">
        <f>'инновации+добровольчество0,3664'!A316</f>
        <v>0</v>
      </c>
      <c r="D208" s="67">
        <f>'инновации+добровольчество0,3664'!B321</f>
        <v>0</v>
      </c>
      <c r="E208" s="163">
        <f>'инновации+добровольчество0,3664'!D321</f>
        <v>0</v>
      </c>
    </row>
    <row r="209" spans="1:5" hidden="1" x14ac:dyDescent="0.25">
      <c r="A209" s="613"/>
      <c r="B209" s="612"/>
      <c r="C209" s="108">
        <f>'инновации+добровольчество0,3664'!A317</f>
        <v>0</v>
      </c>
      <c r="D209" s="67">
        <f>'инновации+добровольчество0,3664'!B322</f>
        <v>0</v>
      </c>
      <c r="E209" s="163">
        <f>'инновации+добровольчество0,3664'!D322</f>
        <v>0</v>
      </c>
    </row>
    <row r="210" spans="1:5" hidden="1" x14ac:dyDescent="0.25">
      <c r="A210" s="613"/>
      <c r="B210" s="612"/>
      <c r="C210" s="108">
        <f>'инновации+добровольчество0,3664'!A318</f>
        <v>0</v>
      </c>
      <c r="D210" s="67">
        <f>'инновации+добровольчество0,3664'!B323</f>
        <v>0</v>
      </c>
      <c r="E210" s="163">
        <f>'инновации+добровольчество0,3664'!D323</f>
        <v>0</v>
      </c>
    </row>
    <row r="211" spans="1:5" hidden="1" x14ac:dyDescent="0.25">
      <c r="A211" s="613"/>
      <c r="B211" s="612"/>
      <c r="C211" s="108">
        <f>'инновации+добровольчество0,3664'!A319</f>
        <v>0</v>
      </c>
      <c r="D211" s="67">
        <f>'инновации+добровольчество0,3664'!B324</f>
        <v>0</v>
      </c>
      <c r="E211" s="163">
        <f>'инновации+добровольчество0,3664'!D324</f>
        <v>0</v>
      </c>
    </row>
    <row r="212" spans="1:5" hidden="1" x14ac:dyDescent="0.25">
      <c r="A212" s="613"/>
      <c r="B212" s="612"/>
      <c r="C212" s="108">
        <f>'инновации+добровольчество0,3664'!A320</f>
        <v>0</v>
      </c>
      <c r="D212" s="67">
        <f>'инновации+добровольчество0,3664'!B325</f>
        <v>0</v>
      </c>
      <c r="E212" s="163">
        <f>'инновации+добровольчество0,3664'!D325</f>
        <v>0</v>
      </c>
    </row>
    <row r="213" spans="1:5" hidden="1" x14ac:dyDescent="0.25">
      <c r="A213" s="613"/>
      <c r="B213" s="612"/>
      <c r="C213" s="108">
        <f>'инновации+добровольчество0,3664'!A321</f>
        <v>0</v>
      </c>
      <c r="D213" s="67">
        <f>'инновации+добровольчество0,3664'!B326</f>
        <v>0</v>
      </c>
      <c r="E213" s="163">
        <f>'инновации+добровольчество0,3664'!D326</f>
        <v>0</v>
      </c>
    </row>
    <row r="214" spans="1:5" hidden="1" x14ac:dyDescent="0.25">
      <c r="A214" s="613"/>
      <c r="B214" s="612"/>
      <c r="C214" s="108">
        <f>'инновации+добровольчество0,3664'!A322</f>
        <v>0</v>
      </c>
      <c r="D214" s="67">
        <f>'инновации+добровольчество0,3664'!B327</f>
        <v>0</v>
      </c>
      <c r="E214" s="163">
        <f>'инновации+добровольчество0,3664'!D327</f>
        <v>0</v>
      </c>
    </row>
    <row r="215" spans="1:5" hidden="1" x14ac:dyDescent="0.25">
      <c r="A215" s="613"/>
      <c r="B215" s="612"/>
      <c r="C215" s="108">
        <f>'инновации+добровольчество0,3664'!A323</f>
        <v>0</v>
      </c>
      <c r="D215" s="67">
        <f>'инновации+добровольчество0,3664'!B328</f>
        <v>0</v>
      </c>
      <c r="E215" s="163">
        <f>'инновации+добровольчество0,3664'!D328</f>
        <v>0</v>
      </c>
    </row>
    <row r="216" spans="1:5" hidden="1" x14ac:dyDescent="0.25">
      <c r="A216" s="613"/>
      <c r="B216" s="612"/>
      <c r="C216" s="108">
        <f>'инновации+добровольчество0,3664'!A324</f>
        <v>0</v>
      </c>
      <c r="D216" s="67">
        <f>'инновации+добровольчество0,3664'!B329</f>
        <v>0</v>
      </c>
      <c r="E216" s="163">
        <f>'инновации+добровольчество0,3664'!D329</f>
        <v>0</v>
      </c>
    </row>
    <row r="217" spans="1:5" hidden="1" x14ac:dyDescent="0.25">
      <c r="A217" s="613"/>
      <c r="B217" s="612"/>
      <c r="C217" s="108">
        <f>'инновации+добровольчество0,3664'!A325</f>
        <v>0</v>
      </c>
      <c r="D217" s="67">
        <f>'инновации+добровольчество0,3664'!B330</f>
        <v>0</v>
      </c>
      <c r="E217" s="163">
        <f>'инновации+добровольчество0,3664'!D330</f>
        <v>0</v>
      </c>
    </row>
    <row r="218" spans="1:5" hidden="1" x14ac:dyDescent="0.25">
      <c r="A218" s="613"/>
      <c r="B218" s="612"/>
      <c r="C218" s="108">
        <f>'инновации+добровольчество0,3664'!A326</f>
        <v>0</v>
      </c>
      <c r="D218" s="67">
        <f>'инновации+добровольчество0,3664'!B331</f>
        <v>0</v>
      </c>
      <c r="E218" s="163">
        <f>'инновации+добровольчество0,3664'!D331</f>
        <v>0</v>
      </c>
    </row>
    <row r="219" spans="1:5" hidden="1" x14ac:dyDescent="0.25">
      <c r="A219" s="613"/>
      <c r="B219" s="612"/>
      <c r="C219" s="108">
        <f>'инновации+добровольчество0,3664'!A327</f>
        <v>0</v>
      </c>
      <c r="D219" s="67">
        <f>'инновации+добровольчество0,3664'!B332</f>
        <v>0</v>
      </c>
      <c r="E219" s="163">
        <f>'инновации+добровольчество0,3664'!D332</f>
        <v>0</v>
      </c>
    </row>
    <row r="220" spans="1:5" hidden="1" x14ac:dyDescent="0.25">
      <c r="A220" s="613"/>
      <c r="B220" s="612"/>
      <c r="C220" s="108">
        <f>'инновации+добровольчество0,3664'!A328</f>
        <v>0</v>
      </c>
      <c r="D220" s="67">
        <f>'инновации+добровольчество0,3664'!B333</f>
        <v>0</v>
      </c>
      <c r="E220" s="163">
        <f>'инновации+добровольчество0,3664'!D333</f>
        <v>0</v>
      </c>
    </row>
    <row r="221" spans="1:5" hidden="1" x14ac:dyDescent="0.25">
      <c r="A221" s="613"/>
      <c r="B221" s="612"/>
      <c r="C221" s="108">
        <f>'инновации+добровольчество0,3664'!A329</f>
        <v>0</v>
      </c>
      <c r="D221" s="67">
        <f>'инновации+добровольчество0,3664'!B334</f>
        <v>0</v>
      </c>
      <c r="E221" s="163">
        <f>'инновации+добровольчество0,3664'!D334</f>
        <v>0</v>
      </c>
    </row>
    <row r="222" spans="1:5" hidden="1" x14ac:dyDescent="0.25">
      <c r="A222" s="613"/>
      <c r="B222" s="612"/>
      <c r="C222" s="108">
        <f>'инновации+добровольчество0,3664'!A330</f>
        <v>0</v>
      </c>
      <c r="D222" s="67">
        <f>'инновации+добровольчество0,3664'!B335</f>
        <v>0</v>
      </c>
      <c r="E222" s="163">
        <f>'инновации+добровольчество0,3664'!D335</f>
        <v>0</v>
      </c>
    </row>
    <row r="223" spans="1:5" hidden="1" x14ac:dyDescent="0.25">
      <c r="A223" s="613"/>
      <c r="B223" s="612"/>
      <c r="C223" s="108">
        <f>'инновации+добровольчество0,3664'!A331</f>
        <v>0</v>
      </c>
      <c r="D223" s="67">
        <f>'инновации+добровольчество0,3664'!B336</f>
        <v>0</v>
      </c>
      <c r="E223" s="163">
        <f>'инновации+добровольчество0,3664'!D336</f>
        <v>0</v>
      </c>
    </row>
    <row r="224" spans="1:5" hidden="1" x14ac:dyDescent="0.25">
      <c r="A224" s="613"/>
      <c r="B224" s="612"/>
      <c r="C224" s="108">
        <f>'инновации+добровольчество0,3664'!A332</f>
        <v>0</v>
      </c>
      <c r="D224" s="67">
        <f>'инновации+добровольчество0,3664'!B337</f>
        <v>0</v>
      </c>
      <c r="E224" s="163">
        <f>'инновации+добровольчество0,3664'!D337</f>
        <v>0</v>
      </c>
    </row>
    <row r="225" spans="1:5" hidden="1" x14ac:dyDescent="0.25">
      <c r="A225" s="613"/>
      <c r="B225" s="612"/>
      <c r="C225" s="108">
        <f>'инновации+добровольчество0,3664'!A333</f>
        <v>0</v>
      </c>
      <c r="D225" s="67">
        <f>'инновации+добровольчество0,3664'!B338</f>
        <v>0</v>
      </c>
      <c r="E225" s="163">
        <f>'инновации+добровольчество0,3664'!D338</f>
        <v>0</v>
      </c>
    </row>
    <row r="226" spans="1:5" hidden="1" x14ac:dyDescent="0.25">
      <c r="A226" s="613"/>
      <c r="B226" s="612"/>
      <c r="C226" s="108">
        <f>'инновации+добровольчество0,3664'!A334</f>
        <v>0</v>
      </c>
      <c r="D226" s="67">
        <f>'инновации+добровольчество0,3664'!B339</f>
        <v>0</v>
      </c>
      <c r="E226" s="163">
        <f>'инновации+добровольчество0,3664'!D339</f>
        <v>0</v>
      </c>
    </row>
    <row r="227" spans="1:5" hidden="1" x14ac:dyDescent="0.25">
      <c r="A227" s="613"/>
      <c r="B227" s="612"/>
      <c r="C227" s="108">
        <f>'инновации+добровольчество0,3664'!A335</f>
        <v>0</v>
      </c>
      <c r="D227" s="67">
        <f>'инновации+добровольчество0,3664'!B340</f>
        <v>0</v>
      </c>
      <c r="E227" s="163">
        <f>'инновации+добровольчество0,3664'!D340</f>
        <v>0</v>
      </c>
    </row>
    <row r="228" spans="1:5" hidden="1" x14ac:dyDescent="0.25">
      <c r="A228" s="613"/>
      <c r="B228" s="612"/>
      <c r="C228" s="108">
        <f>'инновации+добровольчество0,3664'!A336</f>
        <v>0</v>
      </c>
      <c r="D228" s="67">
        <f>'инновации+добровольчество0,3664'!B341</f>
        <v>0</v>
      </c>
      <c r="E228" s="163">
        <f>'инновации+добровольчество0,3664'!D341</f>
        <v>0</v>
      </c>
    </row>
    <row r="229" spans="1:5" hidden="1" x14ac:dyDescent="0.25">
      <c r="A229" s="613"/>
      <c r="B229" s="612"/>
      <c r="C229" s="108">
        <f>'инновации+добровольчество0,3664'!A337</f>
        <v>0</v>
      </c>
      <c r="D229" s="67">
        <f>'инновации+добровольчество0,3664'!B342</f>
        <v>0</v>
      </c>
      <c r="E229" s="163">
        <f>'инновации+добровольчество0,3664'!D342</f>
        <v>0</v>
      </c>
    </row>
    <row r="230" spans="1:5" hidden="1" x14ac:dyDescent="0.25">
      <c r="A230" s="613"/>
      <c r="B230" s="612"/>
      <c r="C230" s="108">
        <f>'инновации+добровольчество0,3664'!A338</f>
        <v>0</v>
      </c>
      <c r="D230" s="67">
        <f>'инновации+добровольчество0,3664'!B343</f>
        <v>0</v>
      </c>
      <c r="E230" s="163">
        <f>'инновации+добровольчество0,3664'!D343</f>
        <v>0</v>
      </c>
    </row>
    <row r="231" spans="1:5" hidden="1" x14ac:dyDescent="0.25">
      <c r="A231" s="613"/>
      <c r="B231" s="612"/>
      <c r="C231" s="108">
        <f>'инновации+добровольчество0,3664'!A339</f>
        <v>0</v>
      </c>
      <c r="D231" s="67">
        <f>'инновации+добровольчество0,3664'!B344</f>
        <v>0</v>
      </c>
      <c r="E231" s="163">
        <f>'инновации+добровольчество0,3664'!D344</f>
        <v>0</v>
      </c>
    </row>
    <row r="232" spans="1:5" hidden="1" x14ac:dyDescent="0.25">
      <c r="A232" s="613"/>
      <c r="B232" s="612"/>
      <c r="C232" s="108">
        <f>'инновации+добровольчество0,3664'!A340</f>
        <v>0</v>
      </c>
      <c r="D232" s="67">
        <f>'инновации+добровольчество0,3664'!B345</f>
        <v>0</v>
      </c>
      <c r="E232" s="163">
        <f>'инновации+добровольчество0,3664'!D345</f>
        <v>0</v>
      </c>
    </row>
    <row r="233" spans="1:5" hidden="1" x14ac:dyDescent="0.25">
      <c r="A233" s="613"/>
      <c r="B233" s="612"/>
      <c r="C233" s="108">
        <f>'инновации+добровольчество0,3664'!A341</f>
        <v>0</v>
      </c>
      <c r="D233" s="67">
        <f>'инновации+добровольчество0,3664'!B346</f>
        <v>0</v>
      </c>
      <c r="E233" s="163">
        <f>'инновации+добровольчество0,3664'!D346</f>
        <v>0</v>
      </c>
    </row>
    <row r="234" spans="1:5" hidden="1" x14ac:dyDescent="0.25">
      <c r="A234" s="613"/>
      <c r="B234" s="612"/>
      <c r="C234" s="108">
        <f>'инновации+добровольчество0,3664'!A342</f>
        <v>0</v>
      </c>
      <c r="D234" s="67">
        <f>'инновации+добровольчество0,3664'!B347</f>
        <v>0</v>
      </c>
      <c r="E234" s="163">
        <f>'инновации+добровольчество0,3664'!D347</f>
        <v>0</v>
      </c>
    </row>
    <row r="235" spans="1:5" hidden="1" x14ac:dyDescent="0.25">
      <c r="A235" s="613"/>
      <c r="B235" s="612"/>
      <c r="C235" s="108">
        <f>'инновации+добровольчество0,3664'!A343</f>
        <v>0</v>
      </c>
      <c r="D235" s="67">
        <f>'инновации+добровольчество0,3664'!B348</f>
        <v>0</v>
      </c>
      <c r="E235" s="163">
        <f>'инновации+добровольчество0,3664'!D348</f>
        <v>0</v>
      </c>
    </row>
    <row r="236" spans="1:5" hidden="1" x14ac:dyDescent="0.25">
      <c r="A236" s="613"/>
      <c r="B236" s="612"/>
      <c r="C236" s="108">
        <f>'инновации+добровольчество0,3664'!A344</f>
        <v>0</v>
      </c>
      <c r="D236" s="67">
        <f>'инновации+добровольчество0,3664'!B349</f>
        <v>0</v>
      </c>
      <c r="E236" s="163">
        <f>'инновации+добровольчество0,3664'!D349</f>
        <v>0</v>
      </c>
    </row>
    <row r="237" spans="1:5" hidden="1" x14ac:dyDescent="0.25">
      <c r="A237" s="613"/>
      <c r="B237" s="612"/>
      <c r="C237" s="108">
        <f>'инновации+добровольчество0,3664'!A345</f>
        <v>0</v>
      </c>
      <c r="D237" s="67">
        <f>'инновации+добровольчество0,3664'!B350</f>
        <v>0</v>
      </c>
      <c r="E237" s="163">
        <f>'инновации+добровольчество0,3664'!D350</f>
        <v>0</v>
      </c>
    </row>
    <row r="238" spans="1:5" hidden="1" x14ac:dyDescent="0.25">
      <c r="A238" s="613"/>
      <c r="B238" s="612"/>
      <c r="C238" s="108">
        <f>'инновации+добровольчество0,3664'!A346</f>
        <v>0</v>
      </c>
      <c r="D238" s="67">
        <f>'инновации+добровольчество0,3664'!B351</f>
        <v>0</v>
      </c>
      <c r="E238" s="163">
        <f>'инновации+добровольчество0,3664'!D351</f>
        <v>0</v>
      </c>
    </row>
    <row r="239" spans="1:5" hidden="1" x14ac:dyDescent="0.25">
      <c r="A239" s="613"/>
      <c r="B239" s="612"/>
      <c r="C239" s="108">
        <f>'инновации+добровольчество0,3664'!A347</f>
        <v>0</v>
      </c>
      <c r="D239" s="67">
        <f>'инновации+добровольчество0,3664'!B352</f>
        <v>0</v>
      </c>
      <c r="E239" s="163">
        <f>'инновации+добровольчество0,3664'!D352</f>
        <v>0</v>
      </c>
    </row>
    <row r="240" spans="1:5" ht="15" hidden="1" customHeight="1" x14ac:dyDescent="0.25">
      <c r="A240" s="613"/>
      <c r="B240" s="612"/>
      <c r="C240" s="108">
        <f>'инновации+добровольчество0,3664'!A348</f>
        <v>0</v>
      </c>
      <c r="D240" s="67">
        <f>'инновации+добровольчество0,3664'!B353</f>
        <v>0</v>
      </c>
      <c r="E240" s="163">
        <f>'инновации+добровольчество0,3664'!D353</f>
        <v>0</v>
      </c>
    </row>
    <row r="241" spans="1:5" ht="15" hidden="1" customHeight="1" x14ac:dyDescent="0.25">
      <c r="A241" s="613"/>
      <c r="B241" s="612"/>
      <c r="C241" s="108">
        <f>'инновации+добровольчество0,3664'!A349</f>
        <v>0</v>
      </c>
      <c r="D241" s="67">
        <f>'инновации+добровольчество0,3664'!B354</f>
        <v>0</v>
      </c>
      <c r="E241" s="163">
        <f>'инновации+добровольчество0,3664'!D354</f>
        <v>0</v>
      </c>
    </row>
    <row r="242" spans="1:5" ht="15" hidden="1" customHeight="1" x14ac:dyDescent="0.25">
      <c r="A242" s="613"/>
      <c r="B242" s="612"/>
      <c r="C242" s="108">
        <f>'инновации+добровольчество0,3664'!A350</f>
        <v>0</v>
      </c>
      <c r="D242" s="67">
        <f>'инновации+добровольчество0,3664'!B355</f>
        <v>0</v>
      </c>
      <c r="E242" s="163">
        <f>'инновации+добровольчество0,3664'!D355</f>
        <v>0</v>
      </c>
    </row>
    <row r="243" spans="1:5" hidden="1" x14ac:dyDescent="0.25">
      <c r="A243" s="613"/>
      <c r="B243" s="612"/>
      <c r="C243" s="108">
        <f>'инновации+добровольчество0,3664'!A351</f>
        <v>0</v>
      </c>
      <c r="D243" s="67">
        <f>'инновации+добровольчество0,3664'!B356</f>
        <v>0</v>
      </c>
      <c r="E243" s="163">
        <f>'инновации+добровольчество0,3664'!D356</f>
        <v>0</v>
      </c>
    </row>
    <row r="244" spans="1:5" hidden="1" x14ac:dyDescent="0.25">
      <c r="A244" s="613"/>
      <c r="B244" s="612"/>
      <c r="C244" s="108">
        <f>'инновации+добровольчество0,3664'!A352</f>
        <v>0</v>
      </c>
      <c r="D244" s="67">
        <f>'инновации+добровольчество0,3664'!B357</f>
        <v>0</v>
      </c>
      <c r="E244" s="163">
        <f>'инновации+добровольчество0,3664'!D357</f>
        <v>0</v>
      </c>
    </row>
    <row r="245" spans="1:5" hidden="1" x14ac:dyDescent="0.25">
      <c r="A245" s="613"/>
      <c r="B245" s="612"/>
      <c r="C245" s="108">
        <f>'инновации+добровольчество0,3664'!A353</f>
        <v>0</v>
      </c>
      <c r="D245" s="67">
        <f>'инновации+добровольчество0,3664'!B358</f>
        <v>0</v>
      </c>
      <c r="E245" s="163">
        <f>'инновации+добровольчество0,3664'!D358</f>
        <v>0</v>
      </c>
    </row>
    <row r="246" spans="1:5" ht="15" hidden="1" customHeight="1" x14ac:dyDescent="0.25">
      <c r="A246" s="613"/>
      <c r="B246" s="612"/>
      <c r="C246" s="108">
        <f>'инновации+добровольчество0,3664'!A354</f>
        <v>0</v>
      </c>
      <c r="D246" s="67">
        <f>'инновации+добровольчество0,3664'!B359</f>
        <v>0</v>
      </c>
      <c r="E246" s="163">
        <f>'инновации+добровольчество0,3664'!D359</f>
        <v>0</v>
      </c>
    </row>
    <row r="247" spans="1:5" hidden="1" x14ac:dyDescent="0.25">
      <c r="A247" s="613"/>
      <c r="B247" s="612"/>
      <c r="C247" s="108">
        <f>'инновации+добровольчество0,3664'!A355</f>
        <v>0</v>
      </c>
      <c r="D247" s="67">
        <f>'инновации+добровольчество0,3664'!B360</f>
        <v>0</v>
      </c>
      <c r="E247" s="163">
        <f>'инновации+добровольчество0,3664'!D360</f>
        <v>0</v>
      </c>
    </row>
    <row r="248" spans="1:5" ht="15" hidden="1" customHeight="1" x14ac:dyDescent="0.25">
      <c r="A248" s="613"/>
      <c r="B248" s="612"/>
      <c r="C248" s="108">
        <f>'инновации+добровольчество0,3664'!A356</f>
        <v>0</v>
      </c>
      <c r="D248" s="67">
        <f>'инновации+добровольчество0,3664'!B361</f>
        <v>0</v>
      </c>
      <c r="E248" s="163">
        <f>'инновации+добровольчество0,3664'!D361</f>
        <v>0</v>
      </c>
    </row>
    <row r="249" spans="1:5" ht="15" hidden="1" customHeight="1" x14ac:dyDescent="0.25">
      <c r="A249" s="613"/>
      <c r="B249" s="612"/>
      <c r="C249" s="108">
        <f>'инновации+добровольчество0,3664'!A357</f>
        <v>0</v>
      </c>
      <c r="D249" s="67">
        <f>'инновации+добровольчество0,3664'!B362</f>
        <v>0</v>
      </c>
      <c r="E249" s="163">
        <f>'инновации+добровольчество0,3664'!D362</f>
        <v>0</v>
      </c>
    </row>
    <row r="250" spans="1:5" ht="15" hidden="1" customHeight="1" x14ac:dyDescent="0.25">
      <c r="A250" s="613"/>
      <c r="B250" s="612"/>
      <c r="C250" s="108">
        <f>'инновации+добровольчество0,3664'!A358</f>
        <v>0</v>
      </c>
      <c r="D250" s="67">
        <f>'инновации+добровольчество0,3664'!B363</f>
        <v>0</v>
      </c>
      <c r="E250" s="163">
        <f>'инновации+добровольчество0,3664'!D363</f>
        <v>0</v>
      </c>
    </row>
    <row r="251" spans="1:5" ht="15" hidden="1" customHeight="1" x14ac:dyDescent="0.25">
      <c r="A251" s="613"/>
      <c r="B251" s="612"/>
      <c r="C251" s="108">
        <f>'инновации+добровольчество0,3664'!A359</f>
        <v>0</v>
      </c>
      <c r="D251" s="67">
        <f>'инновации+добровольчество0,3664'!B364</f>
        <v>0</v>
      </c>
      <c r="E251" s="163">
        <f>'инновации+добровольчество0,3664'!D364</f>
        <v>0</v>
      </c>
    </row>
    <row r="252" spans="1:5" ht="15" hidden="1" customHeight="1" x14ac:dyDescent="0.25">
      <c r="A252" s="613"/>
      <c r="B252" s="612"/>
      <c r="C252" s="108">
        <f>'инновации+добровольчество0,3664'!A360</f>
        <v>0</v>
      </c>
      <c r="D252" s="67">
        <f>'инновации+добровольчество0,3664'!B365</f>
        <v>0</v>
      </c>
      <c r="E252" s="163">
        <f>'инновации+добровольчество0,3664'!D365</f>
        <v>0</v>
      </c>
    </row>
    <row r="253" spans="1:5" ht="15" hidden="1" customHeight="1" x14ac:dyDescent="0.25">
      <c r="A253" s="613"/>
      <c r="B253" s="612"/>
      <c r="C253" s="108">
        <f>'инновации+добровольчество0,3664'!A361</f>
        <v>0</v>
      </c>
      <c r="D253" s="67">
        <f>'инновации+добровольчество0,3664'!B366</f>
        <v>0</v>
      </c>
      <c r="E253" s="163">
        <f>'инновации+добровольчество0,3664'!D366</f>
        <v>0</v>
      </c>
    </row>
    <row r="254" spans="1:5" hidden="1" x14ac:dyDescent="0.25">
      <c r="A254" s="613"/>
      <c r="B254" s="612"/>
      <c r="C254" s="108">
        <f>'инновации+добровольчество0,3664'!A362</f>
        <v>0</v>
      </c>
      <c r="D254" s="67">
        <f>'инновации+добровольчество0,3664'!B367</f>
        <v>0</v>
      </c>
      <c r="E254" s="163">
        <f>'инновации+добровольчество0,3664'!D367</f>
        <v>0</v>
      </c>
    </row>
    <row r="255" spans="1:5" ht="15" hidden="1" customHeight="1" x14ac:dyDescent="0.25">
      <c r="A255" s="613"/>
      <c r="B255" s="612"/>
      <c r="C255" s="108">
        <f>'инновации+добровольчество0,3664'!A363</f>
        <v>0</v>
      </c>
      <c r="D255" s="67">
        <f>'инновации+добровольчество0,3664'!B368</f>
        <v>0</v>
      </c>
      <c r="E255" s="163">
        <f>'инновации+добровольчество0,3664'!D368</f>
        <v>0</v>
      </c>
    </row>
    <row r="256" spans="1:5" ht="15" hidden="1" customHeight="1" x14ac:dyDescent="0.25">
      <c r="A256" s="613"/>
      <c r="B256" s="612"/>
      <c r="C256" s="108">
        <f>'инновации+добровольчество0,3664'!A364</f>
        <v>0</v>
      </c>
      <c r="D256" s="67">
        <f>'инновации+добровольчество0,3664'!B369</f>
        <v>0</v>
      </c>
      <c r="E256" s="163">
        <f>'инновации+добровольчество0,3664'!D369</f>
        <v>0</v>
      </c>
    </row>
    <row r="257" spans="1:5" ht="15" hidden="1" customHeight="1" x14ac:dyDescent="0.25">
      <c r="A257" s="613"/>
      <c r="B257" s="612"/>
      <c r="C257" s="108">
        <f>'инновации+добровольчество0,3664'!A365</f>
        <v>0</v>
      </c>
      <c r="D257" s="67">
        <f>'инновации+добровольчество0,3664'!B370</f>
        <v>0</v>
      </c>
      <c r="E257" s="163">
        <f>'инновации+добровольчество0,3664'!D370</f>
        <v>0</v>
      </c>
    </row>
    <row r="258" spans="1:5" hidden="1" x14ac:dyDescent="0.25">
      <c r="A258" s="613"/>
      <c r="B258" s="612"/>
      <c r="C258" s="108">
        <f>'инновации+добровольчество0,3664'!A366</f>
        <v>0</v>
      </c>
      <c r="D258" s="67">
        <f>'инновации+добровольчество0,3664'!B371</f>
        <v>0</v>
      </c>
      <c r="E258" s="163">
        <f>'инновации+добровольчество0,3664'!D371</f>
        <v>0</v>
      </c>
    </row>
    <row r="259" spans="1:5" ht="15" hidden="1" customHeight="1" x14ac:dyDescent="0.25">
      <c r="A259" s="613"/>
      <c r="B259" s="612"/>
      <c r="C259" s="108">
        <f>'инновации+добровольчество0,3664'!A367</f>
        <v>0</v>
      </c>
      <c r="D259" s="67">
        <f>'инновации+добровольчество0,3664'!B372</f>
        <v>0</v>
      </c>
      <c r="E259" s="163">
        <f>'инновации+добровольчество0,3664'!D372</f>
        <v>0</v>
      </c>
    </row>
    <row r="260" spans="1:5" ht="15" hidden="1" customHeight="1" x14ac:dyDescent="0.25">
      <c r="A260" s="613"/>
      <c r="B260" s="612"/>
      <c r="C260" s="108">
        <f>'инновации+добровольчество0,3664'!A368</f>
        <v>0</v>
      </c>
      <c r="D260" s="67">
        <f>'инновации+добровольчество0,3664'!B373</f>
        <v>0</v>
      </c>
      <c r="E260" s="163">
        <f>'инновации+добровольчество0,3664'!D373</f>
        <v>0</v>
      </c>
    </row>
    <row r="261" spans="1:5" ht="15" hidden="1" customHeight="1" x14ac:dyDescent="0.25">
      <c r="A261" s="613"/>
      <c r="B261" s="612"/>
      <c r="C261" s="108">
        <f>'инновации+добровольчество0,3664'!A369</f>
        <v>0</v>
      </c>
      <c r="D261" s="67">
        <f>'инновации+добровольчество0,3664'!B374</f>
        <v>0</v>
      </c>
      <c r="E261" s="163">
        <f>'инновации+добровольчество0,3664'!D374</f>
        <v>0</v>
      </c>
    </row>
    <row r="262" spans="1:5" hidden="1" x14ac:dyDescent="0.25">
      <c r="A262" s="613"/>
      <c r="B262" s="612"/>
      <c r="C262" s="108">
        <f>'инновации+добровольчество0,3664'!A370</f>
        <v>0</v>
      </c>
      <c r="D262" s="67">
        <f>'инновации+добровольчество0,3664'!B375</f>
        <v>0</v>
      </c>
      <c r="E262" s="163">
        <f>'инновации+добровольчество0,3664'!D375</f>
        <v>0</v>
      </c>
    </row>
    <row r="263" spans="1:5" ht="15" hidden="1" customHeight="1" x14ac:dyDescent="0.25">
      <c r="A263" s="613"/>
      <c r="B263" s="612"/>
      <c r="C263" s="108">
        <f>'инновации+добровольчество0,3664'!A371</f>
        <v>0</v>
      </c>
      <c r="D263" s="67">
        <f>'инновации+добровольчество0,3664'!B376</f>
        <v>0</v>
      </c>
      <c r="E263" s="163">
        <f>'инновации+добровольчество0,3664'!D376</f>
        <v>0</v>
      </c>
    </row>
    <row r="264" spans="1:5" ht="15" hidden="1" customHeight="1" x14ac:dyDescent="0.25">
      <c r="A264" s="613"/>
      <c r="B264" s="612"/>
      <c r="C264" s="108">
        <f>'инновации+добровольчество0,3664'!A372</f>
        <v>0</v>
      </c>
      <c r="D264" s="67">
        <f>'инновации+добровольчество0,3664'!B377</f>
        <v>0</v>
      </c>
      <c r="E264" s="163">
        <f>'инновации+добровольчество0,3664'!D377</f>
        <v>0</v>
      </c>
    </row>
    <row r="265" spans="1:5" ht="15" hidden="1" customHeight="1" x14ac:dyDescent="0.25">
      <c r="A265" s="613"/>
      <c r="B265" s="612"/>
      <c r="C265" s="108">
        <f>'инновации+добровольчество0,3664'!A373</f>
        <v>0</v>
      </c>
      <c r="D265" s="67">
        <f>'инновации+добровольчество0,3664'!B378</f>
        <v>0</v>
      </c>
      <c r="E265" s="163">
        <f>'инновации+добровольчество0,3664'!D378</f>
        <v>0</v>
      </c>
    </row>
    <row r="266" spans="1:5" ht="15" hidden="1" customHeight="1" x14ac:dyDescent="0.25">
      <c r="A266" s="613"/>
      <c r="B266" s="612"/>
      <c r="C266" s="108">
        <f>'инновации+добровольчество0,3664'!A374</f>
        <v>0</v>
      </c>
      <c r="D266" s="67">
        <f>'инновации+добровольчество0,3664'!B379</f>
        <v>0</v>
      </c>
      <c r="E266" s="163">
        <f>'инновации+добровольчество0,3664'!D379</f>
        <v>0</v>
      </c>
    </row>
    <row r="267" spans="1:5" ht="15" hidden="1" customHeight="1" x14ac:dyDescent="0.25">
      <c r="A267" s="613"/>
      <c r="B267" s="612"/>
      <c r="C267" s="108">
        <f>'инновации+добровольчество0,3664'!A375</f>
        <v>0</v>
      </c>
      <c r="D267" s="67">
        <f>'инновации+добровольчество0,3664'!B380</f>
        <v>0</v>
      </c>
      <c r="E267" s="163">
        <f>'инновации+добровольчество0,3664'!D380</f>
        <v>0</v>
      </c>
    </row>
    <row r="268" spans="1:5" ht="15" hidden="1" customHeight="1" x14ac:dyDescent="0.25">
      <c r="A268" s="613"/>
      <c r="B268" s="612"/>
      <c r="C268" s="108">
        <f>'инновации+добровольчество0,3664'!A376</f>
        <v>0</v>
      </c>
      <c r="D268" s="67">
        <f>'инновации+добровольчество0,3664'!B381</f>
        <v>0</v>
      </c>
      <c r="E268" s="163">
        <f>'инновации+добровольчество0,3664'!D381</f>
        <v>0</v>
      </c>
    </row>
    <row r="269" spans="1:5" ht="15" hidden="1" customHeight="1" x14ac:dyDescent="0.25">
      <c r="A269" s="613"/>
      <c r="B269" s="612"/>
      <c r="C269" s="108">
        <f>'инновации+добровольчество0,3664'!A377</f>
        <v>0</v>
      </c>
      <c r="D269" s="67">
        <f>'инновации+добровольчество0,3664'!B382</f>
        <v>0</v>
      </c>
      <c r="E269" s="163">
        <f>'инновации+добровольчество0,3664'!D382</f>
        <v>0</v>
      </c>
    </row>
    <row r="270" spans="1:5" ht="15" hidden="1" customHeight="1" x14ac:dyDescent="0.25">
      <c r="A270" s="613"/>
      <c r="B270" s="612"/>
      <c r="C270" s="108">
        <f>'инновации+добровольчество0,3664'!A378</f>
        <v>0</v>
      </c>
      <c r="D270" s="67">
        <f>'инновации+добровольчество0,3664'!B383</f>
        <v>0</v>
      </c>
      <c r="E270" s="163">
        <f>'инновации+добровольчество0,3664'!D383</f>
        <v>0</v>
      </c>
    </row>
    <row r="271" spans="1:5" ht="15" hidden="1" customHeight="1" x14ac:dyDescent="0.25">
      <c r="A271" s="613"/>
      <c r="B271" s="612"/>
      <c r="C271" s="108">
        <f>'инновации+добровольчество0,3664'!A379</f>
        <v>0</v>
      </c>
      <c r="D271" s="67">
        <f>'инновации+добровольчество0,3664'!B384</f>
        <v>0</v>
      </c>
      <c r="E271" s="163">
        <f>'инновации+добровольчество0,3664'!D384</f>
        <v>0</v>
      </c>
    </row>
    <row r="272" spans="1:5" ht="15" hidden="1" customHeight="1" x14ac:dyDescent="0.25">
      <c r="A272" s="613"/>
      <c r="B272" s="612"/>
      <c r="C272" s="108">
        <f>'инновации+добровольчество0,3664'!A380</f>
        <v>0</v>
      </c>
      <c r="D272" s="67">
        <f>'инновации+добровольчество0,3664'!B385</f>
        <v>0</v>
      </c>
      <c r="E272" s="163">
        <f>'инновации+добровольчество0,3664'!D385</f>
        <v>0</v>
      </c>
    </row>
    <row r="273" spans="1:5" ht="15" hidden="1" customHeight="1" x14ac:dyDescent="0.25">
      <c r="A273" s="613"/>
      <c r="B273" s="612"/>
      <c r="C273" s="108">
        <f>'инновации+добровольчество0,3664'!A381</f>
        <v>0</v>
      </c>
      <c r="D273" s="67">
        <f>'инновации+добровольчество0,3664'!B386</f>
        <v>0</v>
      </c>
      <c r="E273" s="163">
        <f>'инновации+добровольчество0,3664'!D386</f>
        <v>0</v>
      </c>
    </row>
    <row r="274" spans="1:5" ht="15" hidden="1" customHeight="1" x14ac:dyDescent="0.25">
      <c r="A274" s="613"/>
      <c r="B274" s="612"/>
      <c r="C274" s="108">
        <f>'инновации+добровольчество0,3664'!A382</f>
        <v>0</v>
      </c>
      <c r="D274" s="67">
        <f>'инновации+добровольчество0,3664'!B387</f>
        <v>0</v>
      </c>
      <c r="E274" s="163">
        <f>'инновации+добровольчество0,3664'!D387</f>
        <v>0</v>
      </c>
    </row>
    <row r="275" spans="1:5" ht="15" hidden="1" customHeight="1" x14ac:dyDescent="0.25">
      <c r="A275" s="613"/>
      <c r="B275" s="612"/>
      <c r="C275" s="108">
        <f>'инновации+добровольчество0,3664'!A383</f>
        <v>0</v>
      </c>
      <c r="D275" s="67">
        <f>'инновации+добровольчество0,3664'!B388</f>
        <v>0</v>
      </c>
      <c r="E275" s="163">
        <f>'инновации+добровольчество0,3664'!D388</f>
        <v>0</v>
      </c>
    </row>
    <row r="276" spans="1:5" ht="15" hidden="1" customHeight="1" x14ac:dyDescent="0.25">
      <c r="A276" s="613"/>
      <c r="B276" s="612"/>
      <c r="C276" s="108">
        <f>'инновации+добровольчество0,3664'!A384</f>
        <v>0</v>
      </c>
      <c r="D276" s="67">
        <f>'инновации+добровольчество0,3664'!B389</f>
        <v>0</v>
      </c>
      <c r="E276" s="163">
        <f>'инновации+добровольчество0,3664'!D389</f>
        <v>0</v>
      </c>
    </row>
    <row r="277" spans="1:5" ht="15" hidden="1" customHeight="1" x14ac:dyDescent="0.25">
      <c r="A277" s="613"/>
      <c r="B277" s="612"/>
      <c r="C277" s="108">
        <f>'инновации+добровольчество0,3664'!A385</f>
        <v>0</v>
      </c>
      <c r="D277" s="67">
        <f>'инновации+добровольчество0,3664'!B390</f>
        <v>0</v>
      </c>
      <c r="E277" s="163">
        <f>'инновации+добровольчество0,3664'!D390</f>
        <v>0</v>
      </c>
    </row>
    <row r="278" spans="1:5" ht="15" hidden="1" customHeight="1" x14ac:dyDescent="0.25">
      <c r="A278" s="613"/>
      <c r="B278" s="612"/>
      <c r="C278" s="108">
        <f>'инновации+добровольчество0,3664'!A386</f>
        <v>0</v>
      </c>
      <c r="D278" s="67">
        <f>'инновации+добровольчество0,3664'!B391</f>
        <v>0</v>
      </c>
      <c r="E278" s="163">
        <f>'инновации+добровольчество0,3664'!D391</f>
        <v>0</v>
      </c>
    </row>
    <row r="279" spans="1:5" ht="15" hidden="1" customHeight="1" x14ac:dyDescent="0.25">
      <c r="A279" s="613"/>
      <c r="B279" s="612"/>
      <c r="C279" s="108">
        <f>'инновации+добровольчество0,3664'!A387</f>
        <v>0</v>
      </c>
      <c r="D279" s="67">
        <f>'инновации+добровольчество0,3664'!B392</f>
        <v>0</v>
      </c>
      <c r="E279" s="163">
        <f>'инновации+добровольчество0,3664'!D392</f>
        <v>0</v>
      </c>
    </row>
    <row r="280" spans="1:5" ht="15" hidden="1" customHeight="1" x14ac:dyDescent="0.25">
      <c r="A280" s="613"/>
      <c r="B280" s="612"/>
      <c r="C280" s="108">
        <f>'инновации+добровольчество0,3664'!A388</f>
        <v>0</v>
      </c>
      <c r="D280" s="67">
        <f>'инновации+добровольчество0,3664'!B393</f>
        <v>0</v>
      </c>
      <c r="E280" s="163">
        <f>'инновации+добровольчество0,3664'!D393</f>
        <v>0</v>
      </c>
    </row>
    <row r="281" spans="1:5" ht="15" hidden="1" customHeight="1" x14ac:dyDescent="0.25">
      <c r="A281" s="613"/>
      <c r="B281" s="612"/>
      <c r="C281" s="108">
        <f>'инновации+добровольчество0,3664'!A389</f>
        <v>0</v>
      </c>
      <c r="D281" s="67">
        <f>'инновации+добровольчество0,3664'!B394</f>
        <v>0</v>
      </c>
      <c r="E281" s="163">
        <f>'инновации+добровольчество0,3664'!D394</f>
        <v>0</v>
      </c>
    </row>
    <row r="282" spans="1:5" ht="15" hidden="1" customHeight="1" x14ac:dyDescent="0.25">
      <c r="A282" s="613"/>
      <c r="B282" s="612"/>
      <c r="C282" s="108">
        <f>'инновации+добровольчество0,3664'!A390</f>
        <v>0</v>
      </c>
      <c r="D282" s="67">
        <f>'инновации+добровольчество0,3664'!B395</f>
        <v>0</v>
      </c>
      <c r="E282" s="163">
        <f>'инновации+добровольчество0,3664'!D395</f>
        <v>0</v>
      </c>
    </row>
    <row r="283" spans="1:5" ht="15" hidden="1" customHeight="1" x14ac:dyDescent="0.25">
      <c r="A283" s="613"/>
      <c r="B283" s="612"/>
      <c r="C283" s="108">
        <f>'инновации+добровольчество0,3664'!A391</f>
        <v>0</v>
      </c>
      <c r="D283" s="67">
        <f>'инновации+добровольчество0,3664'!B396</f>
        <v>0</v>
      </c>
      <c r="E283" s="163">
        <f>'инновации+добровольчество0,3664'!D396</f>
        <v>0</v>
      </c>
    </row>
    <row r="284" spans="1:5" ht="15" hidden="1" customHeight="1" x14ac:dyDescent="0.25">
      <c r="A284" s="613"/>
      <c r="B284" s="612"/>
      <c r="C284" s="108">
        <f>'инновации+добровольчество0,3664'!A392</f>
        <v>0</v>
      </c>
      <c r="D284" s="67">
        <f>'инновации+добровольчество0,3664'!B397</f>
        <v>0</v>
      </c>
      <c r="E284" s="163">
        <f>'инновации+добровольчество0,3664'!D397</f>
        <v>0</v>
      </c>
    </row>
    <row r="285" spans="1:5" ht="15" hidden="1" customHeight="1" x14ac:dyDescent="0.25">
      <c r="A285" s="613"/>
      <c r="B285" s="612"/>
      <c r="C285" s="108">
        <f>'инновации+добровольчество0,3664'!A393</f>
        <v>0</v>
      </c>
      <c r="D285" s="67">
        <f>'инновации+добровольчество0,3664'!B398</f>
        <v>0</v>
      </c>
      <c r="E285" s="163">
        <f>'инновации+добровольчество0,3664'!D398</f>
        <v>0</v>
      </c>
    </row>
    <row r="286" spans="1:5" ht="15" hidden="1" customHeight="1" x14ac:dyDescent="0.25">
      <c r="A286" s="613"/>
      <c r="B286" s="612"/>
      <c r="C286" s="108">
        <f>'инновации+добровольчество0,3664'!A394</f>
        <v>0</v>
      </c>
      <c r="D286" s="67">
        <f>'инновации+добровольчество0,3664'!B399</f>
        <v>0</v>
      </c>
      <c r="E286" s="163">
        <f>'инновации+добровольчество0,3664'!D399</f>
        <v>0</v>
      </c>
    </row>
    <row r="287" spans="1:5" ht="15" hidden="1" customHeight="1" x14ac:dyDescent="0.25">
      <c r="A287" s="613"/>
      <c r="B287" s="612"/>
      <c r="C287" s="108">
        <f>'инновации+добровольчество0,3664'!A395</f>
        <v>0</v>
      </c>
      <c r="D287" s="67">
        <f>'инновации+добровольчество0,3664'!B400</f>
        <v>0</v>
      </c>
      <c r="E287" s="163">
        <f>'инновации+добровольчество0,3664'!D400</f>
        <v>0</v>
      </c>
    </row>
    <row r="288" spans="1:5" ht="15" hidden="1" customHeight="1" x14ac:dyDescent="0.25">
      <c r="A288" s="613"/>
      <c r="B288" s="612"/>
      <c r="C288" s="108">
        <f>'инновации+добровольчество0,3664'!A396</f>
        <v>0</v>
      </c>
      <c r="D288" s="67">
        <f>'инновации+добровольчество0,3664'!B401</f>
        <v>0</v>
      </c>
      <c r="E288" s="163">
        <f>'инновации+добровольчество0,3664'!D401</f>
        <v>0</v>
      </c>
    </row>
    <row r="289" spans="1:5" ht="15" hidden="1" customHeight="1" x14ac:dyDescent="0.25">
      <c r="A289" s="613"/>
      <c r="B289" s="612"/>
      <c r="C289" s="108">
        <f>'инновации+добровольчество0,3664'!A397</f>
        <v>0</v>
      </c>
      <c r="D289" s="67">
        <f>'инновации+добровольчество0,3664'!B402</f>
        <v>0</v>
      </c>
      <c r="E289" s="163">
        <f>'инновации+добровольчество0,3664'!D402</f>
        <v>0</v>
      </c>
    </row>
    <row r="290" spans="1:5" ht="15" hidden="1" customHeight="1" x14ac:dyDescent="0.25">
      <c r="A290" s="613"/>
      <c r="B290" s="612"/>
      <c r="C290" s="108">
        <f>'инновации+добровольчество0,3664'!A398</f>
        <v>0</v>
      </c>
      <c r="D290" s="67">
        <f>'инновации+добровольчество0,3664'!B403</f>
        <v>0</v>
      </c>
      <c r="E290" s="163">
        <f>'инновации+добровольчество0,3664'!D403</f>
        <v>0</v>
      </c>
    </row>
    <row r="291" spans="1:5" ht="15" hidden="1" customHeight="1" x14ac:dyDescent="0.25">
      <c r="A291" s="613"/>
      <c r="B291" s="612"/>
      <c r="C291" s="108">
        <f>'инновации+добровольчество0,3664'!A399</f>
        <v>0</v>
      </c>
      <c r="D291" s="67">
        <f>'инновации+добровольчество0,3664'!B404</f>
        <v>0</v>
      </c>
      <c r="E291" s="163">
        <f>'инновации+добровольчество0,3664'!D404</f>
        <v>0</v>
      </c>
    </row>
    <row r="292" spans="1:5" ht="15" hidden="1" customHeight="1" x14ac:dyDescent="0.25">
      <c r="A292" s="613"/>
      <c r="B292" s="612"/>
      <c r="C292" s="108">
        <f>'инновации+добровольчество0,3664'!A400</f>
        <v>0</v>
      </c>
      <c r="D292" s="67">
        <f>'инновации+добровольчество0,3664'!B405</f>
        <v>0</v>
      </c>
      <c r="E292" s="163">
        <f>'инновации+добровольчество0,3664'!D405</f>
        <v>0</v>
      </c>
    </row>
    <row r="293" spans="1:5" ht="15" hidden="1" customHeight="1" x14ac:dyDescent="0.25">
      <c r="A293" s="613"/>
      <c r="B293" s="612"/>
      <c r="C293" s="108">
        <f>'инновации+добровольчество0,3664'!A401</f>
        <v>0</v>
      </c>
      <c r="D293" s="67">
        <f>'инновации+добровольчество0,3664'!B406</f>
        <v>0</v>
      </c>
      <c r="E293" s="163">
        <f>'инновации+добровольчество0,3664'!D406</f>
        <v>0</v>
      </c>
    </row>
    <row r="294" spans="1:5" ht="15" hidden="1" customHeight="1" x14ac:dyDescent="0.25">
      <c r="A294" s="613"/>
      <c r="B294" s="612"/>
      <c r="C294" s="108">
        <f>'инновации+добровольчество0,3664'!A402</f>
        <v>0</v>
      </c>
      <c r="D294" s="67">
        <f>'инновации+добровольчество0,3664'!B407</f>
        <v>0</v>
      </c>
      <c r="E294" s="163">
        <f>'инновации+добровольчество0,3664'!D407</f>
        <v>0</v>
      </c>
    </row>
    <row r="295" spans="1:5" hidden="1" x14ac:dyDescent="0.25">
      <c r="A295" s="613"/>
      <c r="B295" s="612"/>
      <c r="C295" s="108">
        <f>'инновации+добровольчество0,3664'!A403</f>
        <v>0</v>
      </c>
      <c r="D295" s="67">
        <f>'инновации+добровольчество0,3664'!B408</f>
        <v>0</v>
      </c>
      <c r="E295" s="163">
        <f>'инновации+добровольчество0,3664'!D408</f>
        <v>0</v>
      </c>
    </row>
    <row r="296" spans="1:5" hidden="1" x14ac:dyDescent="0.25">
      <c r="A296" s="613"/>
      <c r="B296" s="612"/>
      <c r="C296" s="108">
        <f>'инновации+добровольчество0,3664'!A404</f>
        <v>0</v>
      </c>
      <c r="D296" s="67">
        <f>'инновации+добровольчество0,3664'!B409</f>
        <v>0</v>
      </c>
      <c r="E296" s="163">
        <f>'инновации+добровольчество0,3664'!D409</f>
        <v>0</v>
      </c>
    </row>
    <row r="297" spans="1:5" hidden="1" x14ac:dyDescent="0.25">
      <c r="A297" s="613"/>
      <c r="B297" s="612"/>
      <c r="C297" s="108">
        <f>'инновации+добровольчество0,3664'!A405</f>
        <v>0</v>
      </c>
      <c r="D297" s="67">
        <f>'инновации+добровольчество0,3664'!B410</f>
        <v>0</v>
      </c>
      <c r="E297" s="163">
        <f>'инновации+добровольчество0,3664'!D410</f>
        <v>0</v>
      </c>
    </row>
    <row r="298" spans="1:5" hidden="1" x14ac:dyDescent="0.25">
      <c r="A298" s="613"/>
      <c r="B298" s="612"/>
      <c r="C298" s="108">
        <f>'инновации+добровольчество0,3664'!A406</f>
        <v>0</v>
      </c>
      <c r="D298" s="67">
        <f>'инновации+добровольчество0,3664'!B411</f>
        <v>0</v>
      </c>
      <c r="E298" s="163">
        <f>'инновации+добровольчество0,3664'!D411</f>
        <v>0</v>
      </c>
    </row>
    <row r="299" spans="1:5" hidden="1" x14ac:dyDescent="0.25">
      <c r="A299" s="613"/>
      <c r="B299" s="612"/>
      <c r="C299" s="108">
        <f>'инновации+добровольчество0,3664'!A407</f>
        <v>0</v>
      </c>
      <c r="D299" s="67">
        <f>'инновации+добровольчество0,3664'!B412</f>
        <v>0</v>
      </c>
      <c r="E299" s="163">
        <f>'инновации+добровольчество0,3664'!D412</f>
        <v>0</v>
      </c>
    </row>
    <row r="300" spans="1:5" hidden="1" x14ac:dyDescent="0.25">
      <c r="A300" s="613"/>
      <c r="B300" s="612"/>
      <c r="C300" s="108">
        <f>'инновации+добровольчество0,3664'!A408</f>
        <v>0</v>
      </c>
      <c r="D300" s="67">
        <f>'инновации+добровольчество0,3664'!B413</f>
        <v>0</v>
      </c>
      <c r="E300" s="163">
        <f>'инновации+добровольчество0,3664'!D413</f>
        <v>0</v>
      </c>
    </row>
    <row r="301" spans="1:5" hidden="1" x14ac:dyDescent="0.25">
      <c r="A301" s="613"/>
      <c r="B301" s="612"/>
      <c r="C301" s="108">
        <f>'инновации+добровольчество0,3664'!A409</f>
        <v>0</v>
      </c>
      <c r="D301" s="67">
        <f>'инновации+добровольчество0,3664'!B414</f>
        <v>0</v>
      </c>
      <c r="E301" s="163">
        <f>'инновации+добровольчество0,3664'!D414</f>
        <v>0</v>
      </c>
    </row>
    <row r="302" spans="1:5" hidden="1" x14ac:dyDescent="0.25">
      <c r="A302" s="613"/>
      <c r="B302" s="612"/>
      <c r="C302" s="108">
        <f>'инновации+добровольчество0,3664'!A410</f>
        <v>0</v>
      </c>
      <c r="D302" s="67">
        <f>'инновации+добровольчество0,3664'!B415</f>
        <v>0</v>
      </c>
      <c r="E302" s="163">
        <f>'инновации+добровольчество0,3664'!D415</f>
        <v>0</v>
      </c>
    </row>
    <row r="303" spans="1:5" hidden="1" x14ac:dyDescent="0.25">
      <c r="A303" s="613"/>
      <c r="B303" s="612"/>
      <c r="C303" s="108">
        <f>'инновации+добровольчество0,3664'!A411</f>
        <v>0</v>
      </c>
      <c r="D303" s="67">
        <f>'инновации+добровольчество0,3664'!B416</f>
        <v>0</v>
      </c>
      <c r="E303" s="163">
        <f>'инновации+добровольчество0,3664'!D416</f>
        <v>0</v>
      </c>
    </row>
    <row r="304" spans="1:5" hidden="1" x14ac:dyDescent="0.25">
      <c r="A304" s="613"/>
      <c r="B304" s="612"/>
      <c r="C304" s="108">
        <f>'инновации+добровольчество0,3664'!A412</f>
        <v>0</v>
      </c>
      <c r="D304" s="67">
        <f>'инновации+добровольчество0,3664'!B417</f>
        <v>0</v>
      </c>
      <c r="E304" s="163">
        <f>'инновации+добровольчество0,3664'!D417</f>
        <v>0</v>
      </c>
    </row>
    <row r="305" spans="1:5" hidden="1" x14ac:dyDescent="0.25">
      <c r="A305" s="613"/>
      <c r="B305" s="612"/>
      <c r="C305" s="108">
        <f>'инновации+добровольчество0,3664'!A413</f>
        <v>0</v>
      </c>
      <c r="D305" s="67">
        <f>'инновации+добровольчество0,3664'!B418</f>
        <v>0</v>
      </c>
      <c r="E305" s="163">
        <f>'инновации+добровольчество0,3664'!D418</f>
        <v>0</v>
      </c>
    </row>
    <row r="306" spans="1:5" hidden="1" x14ac:dyDescent="0.25">
      <c r="A306" s="613"/>
      <c r="B306" s="612"/>
      <c r="C306" s="108">
        <f>'инновации+добровольчество0,3664'!A414</f>
        <v>0</v>
      </c>
      <c r="D306" s="67">
        <f>'инновации+добровольчество0,3664'!B419</f>
        <v>0</v>
      </c>
      <c r="E306" s="163">
        <f>'инновации+добровольчество0,3664'!D419</f>
        <v>0</v>
      </c>
    </row>
    <row r="307" spans="1:5" hidden="1" x14ac:dyDescent="0.25">
      <c r="A307" s="613"/>
      <c r="B307" s="612"/>
      <c r="C307" s="108">
        <f>'инновации+добровольчество0,3664'!A415</f>
        <v>0</v>
      </c>
      <c r="D307" s="67">
        <f>'инновации+добровольчество0,3664'!B420</f>
        <v>0</v>
      </c>
      <c r="E307" s="163">
        <f>'инновации+добровольчество0,3664'!D420</f>
        <v>0</v>
      </c>
    </row>
    <row r="308" spans="1:5" hidden="1" x14ac:dyDescent="0.25">
      <c r="A308" s="613"/>
      <c r="B308" s="612"/>
      <c r="C308" s="108">
        <f>'инновации+добровольчество0,3664'!A416</f>
        <v>0</v>
      </c>
      <c r="D308" s="67">
        <f>'инновации+добровольчество0,3664'!B421</f>
        <v>0</v>
      </c>
      <c r="E308" s="163">
        <f>'инновации+добровольчество0,3664'!D421</f>
        <v>0</v>
      </c>
    </row>
    <row r="309" spans="1:5" hidden="1" x14ac:dyDescent="0.25">
      <c r="A309" s="613"/>
      <c r="B309" s="612"/>
      <c r="C309" s="108">
        <f>'инновации+добровольчество0,3664'!A417</f>
        <v>0</v>
      </c>
      <c r="D309" s="67">
        <f>'инновации+добровольчество0,3664'!B422</f>
        <v>0</v>
      </c>
      <c r="E309" s="163">
        <f>'инновации+добровольчество0,3664'!D422</f>
        <v>0</v>
      </c>
    </row>
    <row r="310" spans="1:5" hidden="1" x14ac:dyDescent="0.25">
      <c r="A310" s="613"/>
      <c r="B310" s="612"/>
      <c r="C310" s="108">
        <f>'инновации+добровольчество0,3664'!A418</f>
        <v>0</v>
      </c>
      <c r="D310" s="67">
        <f>'инновации+добровольчество0,3664'!B423</f>
        <v>0</v>
      </c>
      <c r="E310" s="163">
        <f>'инновации+добровольчество0,3664'!D423</f>
        <v>0</v>
      </c>
    </row>
    <row r="311" spans="1:5" hidden="1" x14ac:dyDescent="0.25">
      <c r="A311" s="613"/>
      <c r="B311" s="612"/>
      <c r="C311" s="108">
        <f>'инновации+добровольчество0,3664'!A419</f>
        <v>0</v>
      </c>
      <c r="D311" s="67">
        <f>'инновации+добровольчество0,3664'!B424</f>
        <v>0</v>
      </c>
      <c r="E311" s="163">
        <f>'инновации+добровольчество0,3664'!D424</f>
        <v>0</v>
      </c>
    </row>
    <row r="312" spans="1:5" hidden="1" x14ac:dyDescent="0.25">
      <c r="A312" s="613"/>
      <c r="B312" s="612"/>
      <c r="C312" s="108">
        <f>'инновации+добровольчество0,3664'!A420</f>
        <v>0</v>
      </c>
      <c r="D312" s="67">
        <f>'инновации+добровольчество0,3664'!B425</f>
        <v>0</v>
      </c>
      <c r="E312" s="163">
        <f>'инновации+добровольчество0,3664'!D425</f>
        <v>0</v>
      </c>
    </row>
    <row r="313" spans="1:5" hidden="1" x14ac:dyDescent="0.25">
      <c r="A313" s="613"/>
      <c r="B313" s="612"/>
      <c r="C313" s="108">
        <f>'инновации+добровольчество0,3664'!A421</f>
        <v>0</v>
      </c>
      <c r="D313" s="67">
        <f>'инновации+добровольчество0,3664'!B426</f>
        <v>0</v>
      </c>
      <c r="E313" s="163">
        <f>'инновации+добровольчество0,3664'!D426</f>
        <v>0</v>
      </c>
    </row>
    <row r="314" spans="1:5" hidden="1" x14ac:dyDescent="0.25">
      <c r="A314" s="613"/>
      <c r="B314" s="612"/>
      <c r="C314" s="108">
        <f>'инновации+добровольчество0,3664'!A422</f>
        <v>0</v>
      </c>
      <c r="D314" s="67">
        <f>'инновации+добровольчество0,3664'!B427</f>
        <v>0</v>
      </c>
      <c r="E314" s="163">
        <f>'инновации+добровольчество0,3664'!D427</f>
        <v>0</v>
      </c>
    </row>
    <row r="315" spans="1:5" hidden="1" x14ac:dyDescent="0.25">
      <c r="A315" s="613"/>
      <c r="B315" s="612"/>
      <c r="C315" s="108">
        <f>'инновации+добровольчество0,3664'!A423</f>
        <v>0</v>
      </c>
      <c r="D315" s="67">
        <f>'инновации+добровольчество0,3664'!B428</f>
        <v>0</v>
      </c>
      <c r="E315" s="163">
        <f>'инновации+добровольчество0,3664'!D428</f>
        <v>0</v>
      </c>
    </row>
    <row r="316" spans="1:5" hidden="1" x14ac:dyDescent="0.25">
      <c r="A316" s="613"/>
      <c r="B316" s="612"/>
      <c r="C316" s="108">
        <f>'инновации+добровольчество0,3664'!A424</f>
        <v>0</v>
      </c>
      <c r="D316" s="67">
        <f>'инновации+добровольчество0,3664'!B429</f>
        <v>0</v>
      </c>
      <c r="E316" s="163">
        <f>'инновации+добровольчество0,3664'!D429</f>
        <v>0</v>
      </c>
    </row>
    <row r="317" spans="1:5" hidden="1" x14ac:dyDescent="0.25">
      <c r="A317" s="613"/>
      <c r="B317" s="612"/>
      <c r="C317" s="108">
        <f>'инновации+добровольчество0,3664'!A425</f>
        <v>0</v>
      </c>
      <c r="D317" s="67">
        <f>'инновации+добровольчество0,3664'!B430</f>
        <v>0</v>
      </c>
      <c r="E317" s="163">
        <f>'инновации+добровольчество0,3664'!D430</f>
        <v>0</v>
      </c>
    </row>
    <row r="318" spans="1:5" hidden="1" x14ac:dyDescent="0.25">
      <c r="A318" s="613"/>
      <c r="B318" s="612"/>
      <c r="C318" s="108">
        <f>'инновации+добровольчество0,3664'!A426</f>
        <v>0</v>
      </c>
      <c r="D318" s="67">
        <f>'инновации+добровольчество0,3664'!B431</f>
        <v>0</v>
      </c>
      <c r="E318" s="163">
        <f>'инновации+добровольчество0,3664'!D431</f>
        <v>0</v>
      </c>
    </row>
    <row r="319" spans="1:5" hidden="1" x14ac:dyDescent="0.25">
      <c r="A319" s="613"/>
      <c r="B319" s="612"/>
      <c r="C319" s="108">
        <f>'инновации+добровольчество0,3664'!A427</f>
        <v>0</v>
      </c>
      <c r="D319" s="67">
        <f>'инновации+добровольчество0,3664'!B432</f>
        <v>0</v>
      </c>
      <c r="E319" s="163">
        <f>'инновации+добровольчество0,3664'!D432</f>
        <v>0</v>
      </c>
    </row>
    <row r="320" spans="1:5" hidden="1" x14ac:dyDescent="0.25">
      <c r="A320" s="613"/>
      <c r="B320" s="612"/>
      <c r="C320" s="108">
        <f>'инновации+добровольчество0,3664'!A428</f>
        <v>0</v>
      </c>
      <c r="D320" s="67">
        <f>'инновации+добровольчество0,3664'!B433</f>
        <v>0</v>
      </c>
      <c r="E320" s="163">
        <f>'инновации+добровольчество0,3664'!D433</f>
        <v>0</v>
      </c>
    </row>
    <row r="321" spans="1:5" hidden="1" x14ac:dyDescent="0.25">
      <c r="A321" s="613"/>
      <c r="B321" s="612"/>
      <c r="C321" s="108">
        <f>'инновации+добровольчество0,3664'!A429</f>
        <v>0</v>
      </c>
      <c r="D321" s="67">
        <f>'инновации+добровольчество0,3664'!B434</f>
        <v>0</v>
      </c>
      <c r="E321" s="163">
        <f>'инновации+добровольчество0,3664'!D434</f>
        <v>0</v>
      </c>
    </row>
    <row r="322" spans="1:5" hidden="1" x14ac:dyDescent="0.25">
      <c r="A322" s="613"/>
      <c r="B322" s="612"/>
      <c r="C322" s="108">
        <f>'инновации+добровольчество0,3664'!A430</f>
        <v>0</v>
      </c>
      <c r="D322" s="67">
        <f>'инновации+добровольчество0,3664'!B435</f>
        <v>0</v>
      </c>
      <c r="E322" s="163">
        <f>'инновации+добровольчество0,3664'!D435</f>
        <v>0</v>
      </c>
    </row>
    <row r="323" spans="1:5" hidden="1" x14ac:dyDescent="0.25">
      <c r="A323" s="613"/>
      <c r="B323" s="612"/>
      <c r="C323" s="108">
        <f>'инновации+добровольчество0,3664'!A431</f>
        <v>0</v>
      </c>
      <c r="D323" s="67">
        <f>'инновации+добровольчество0,3664'!B436</f>
        <v>0</v>
      </c>
      <c r="E323" s="163">
        <f>'инновации+добровольчество0,3664'!D436</f>
        <v>0</v>
      </c>
    </row>
    <row r="324" spans="1:5" hidden="1" x14ac:dyDescent="0.25">
      <c r="A324" s="613"/>
      <c r="B324" s="612"/>
      <c r="C324" s="108">
        <f>'инновации+добровольчество0,3664'!A432</f>
        <v>0</v>
      </c>
      <c r="D324" s="67">
        <f>'инновации+добровольчество0,3664'!B437</f>
        <v>0</v>
      </c>
      <c r="E324" s="163">
        <f>'инновации+добровольчество0,3664'!D437</f>
        <v>0</v>
      </c>
    </row>
    <row r="325" spans="1:5" hidden="1" x14ac:dyDescent="0.25">
      <c r="A325" s="613"/>
      <c r="B325" s="612"/>
      <c r="C325" s="108">
        <f>'инновации+добровольчество0,3664'!A433</f>
        <v>0</v>
      </c>
      <c r="D325" s="67">
        <f>'инновации+добровольчество0,3664'!B438</f>
        <v>0</v>
      </c>
      <c r="E325" s="163">
        <f>'инновации+добровольчество0,3664'!D438</f>
        <v>0</v>
      </c>
    </row>
    <row r="326" spans="1:5" hidden="1" x14ac:dyDescent="0.25">
      <c r="A326" s="613"/>
      <c r="B326" s="612"/>
      <c r="C326" s="108">
        <f>'инновации+добровольчество0,3664'!A434</f>
        <v>0</v>
      </c>
      <c r="D326" s="67">
        <f>'инновации+добровольчество0,3664'!B439</f>
        <v>0</v>
      </c>
      <c r="E326" s="163">
        <f>'инновации+добровольчество0,3664'!D439</f>
        <v>0</v>
      </c>
    </row>
    <row r="327" spans="1:5" hidden="1" x14ac:dyDescent="0.25">
      <c r="A327" s="613"/>
      <c r="B327" s="612"/>
      <c r="C327" s="108">
        <f>'инновации+добровольчество0,3664'!A435</f>
        <v>0</v>
      </c>
      <c r="D327" s="67">
        <f>'инновации+добровольчество0,3664'!B440</f>
        <v>0</v>
      </c>
      <c r="E327" s="163">
        <f>'инновации+добровольчество0,3664'!D440</f>
        <v>0</v>
      </c>
    </row>
    <row r="328" spans="1:5" hidden="1" x14ac:dyDescent="0.25">
      <c r="A328" s="613"/>
      <c r="B328" s="612"/>
      <c r="C328" s="108">
        <f>'инновации+добровольчество0,3664'!A436</f>
        <v>0</v>
      </c>
      <c r="D328" s="67">
        <f>'инновации+добровольчество0,3664'!B441</f>
        <v>0</v>
      </c>
      <c r="E328" s="163">
        <f>'инновации+добровольчество0,3664'!D441</f>
        <v>0</v>
      </c>
    </row>
    <row r="329" spans="1:5" hidden="1" x14ac:dyDescent="0.25">
      <c r="A329" s="613"/>
      <c r="B329" s="612"/>
      <c r="C329" s="108">
        <f>'инновации+добровольчество0,3664'!A437</f>
        <v>0</v>
      </c>
      <c r="D329" s="67">
        <f>'инновации+добровольчество0,3664'!B442</f>
        <v>0</v>
      </c>
      <c r="E329" s="163">
        <f>'инновации+добровольчество0,3664'!D442</f>
        <v>0</v>
      </c>
    </row>
    <row r="330" spans="1:5" hidden="1" x14ac:dyDescent="0.25">
      <c r="A330" s="613"/>
      <c r="B330" s="612"/>
      <c r="C330" s="108">
        <f>'инновации+добровольчество0,3664'!A438</f>
        <v>0</v>
      </c>
      <c r="D330" s="67">
        <f>'инновации+добровольчество0,3664'!B443</f>
        <v>0</v>
      </c>
      <c r="E330" s="163">
        <f>'инновации+добровольчество0,3664'!D443</f>
        <v>0</v>
      </c>
    </row>
    <row r="331" spans="1:5" hidden="1" x14ac:dyDescent="0.25">
      <c r="A331" s="613"/>
      <c r="B331" s="612"/>
      <c r="C331" s="108">
        <f>'инновации+добровольчество0,3664'!A439</f>
        <v>0</v>
      </c>
      <c r="D331" s="67">
        <f>'инновации+добровольчество0,3664'!B444</f>
        <v>0</v>
      </c>
      <c r="E331" s="163">
        <f>'инновации+добровольчество0,3664'!D444</f>
        <v>0</v>
      </c>
    </row>
    <row r="332" spans="1:5" hidden="1" x14ac:dyDescent="0.25">
      <c r="A332" s="613"/>
      <c r="B332" s="612"/>
      <c r="C332" s="108">
        <f>'инновации+добровольчество0,3664'!A440</f>
        <v>0</v>
      </c>
      <c r="D332" s="67">
        <f>'инновации+добровольчество0,3664'!B445</f>
        <v>0</v>
      </c>
      <c r="E332" s="163">
        <f>'инновации+добровольчество0,3664'!D445</f>
        <v>0</v>
      </c>
    </row>
    <row r="333" spans="1:5" hidden="1" x14ac:dyDescent="0.25">
      <c r="A333" s="613"/>
      <c r="B333" s="612"/>
      <c r="C333" s="108">
        <f>'инновации+добровольчество0,3664'!A441</f>
        <v>0</v>
      </c>
      <c r="D333" s="67">
        <f>'инновации+добровольчество0,3664'!B446</f>
        <v>0</v>
      </c>
      <c r="E333" s="163">
        <f>'инновации+добровольчество0,3664'!D446</f>
        <v>0</v>
      </c>
    </row>
    <row r="334" spans="1:5" hidden="1" x14ac:dyDescent="0.25">
      <c r="A334" s="613"/>
      <c r="B334" s="612"/>
      <c r="C334" s="108">
        <f>'инновации+добровольчество0,3664'!A442</f>
        <v>0</v>
      </c>
      <c r="D334" s="67">
        <f>'инновации+добровольчество0,3664'!B447</f>
        <v>0</v>
      </c>
      <c r="E334" s="163">
        <f>'инновации+добровольчество0,3664'!D447</f>
        <v>0</v>
      </c>
    </row>
    <row r="335" spans="1:5" hidden="1" x14ac:dyDescent="0.25">
      <c r="A335" s="613"/>
      <c r="B335" s="612"/>
      <c r="C335" s="108">
        <f>'инновации+добровольчество0,3664'!A443</f>
        <v>0</v>
      </c>
      <c r="D335" s="67">
        <f>'инновации+добровольчество0,3664'!B448</f>
        <v>0</v>
      </c>
      <c r="E335" s="163">
        <f>'инновации+добровольчество0,3664'!D448</f>
        <v>0</v>
      </c>
    </row>
    <row r="336" spans="1:5" hidden="1" x14ac:dyDescent="0.25">
      <c r="A336" s="613"/>
      <c r="B336" s="612"/>
      <c r="C336" s="108">
        <f>'инновации+добровольчество0,3664'!A444</f>
        <v>0</v>
      </c>
      <c r="D336" s="67">
        <f>'инновации+добровольчество0,3664'!B449</f>
        <v>0</v>
      </c>
      <c r="E336" s="163">
        <f>'инновации+добровольчество0,3664'!D449</f>
        <v>0</v>
      </c>
    </row>
    <row r="337" spans="1:5" hidden="1" x14ac:dyDescent="0.25">
      <c r="A337" s="613"/>
      <c r="B337" s="612"/>
      <c r="C337" s="108">
        <f>'инновации+добровольчество0,3664'!A445</f>
        <v>0</v>
      </c>
      <c r="D337" s="67">
        <f>'инновации+добровольчество0,3664'!B450</f>
        <v>0</v>
      </c>
      <c r="E337" s="163">
        <f>'инновации+добровольчество0,3664'!D450</f>
        <v>0</v>
      </c>
    </row>
    <row r="338" spans="1:5" hidden="1" x14ac:dyDescent="0.25">
      <c r="A338" s="613"/>
      <c r="B338" s="612"/>
      <c r="C338" s="108">
        <f>'инновации+добровольчество0,3664'!A446</f>
        <v>0</v>
      </c>
      <c r="D338" s="67">
        <f>'инновации+добровольчество0,3664'!B451</f>
        <v>0</v>
      </c>
      <c r="E338" s="163">
        <f>'инновации+добровольчество0,3664'!D451</f>
        <v>0</v>
      </c>
    </row>
    <row r="339" spans="1:5" hidden="1" x14ac:dyDescent="0.25">
      <c r="A339" s="613"/>
      <c r="B339" s="612"/>
      <c r="C339" s="108">
        <f>'инновации+добровольчество0,3664'!A447</f>
        <v>0</v>
      </c>
      <c r="D339" s="67">
        <f>'инновации+добровольчество0,3664'!B452</f>
        <v>0</v>
      </c>
      <c r="E339" s="163">
        <f>'инновации+добровольчество0,3664'!D452</f>
        <v>0</v>
      </c>
    </row>
    <row r="340" spans="1:5" hidden="1" x14ac:dyDescent="0.25">
      <c r="A340" s="613"/>
      <c r="B340" s="612"/>
      <c r="C340" s="108">
        <f>'инновации+добровольчество0,3664'!A448</f>
        <v>0</v>
      </c>
      <c r="D340" s="67">
        <f>'инновации+добровольчество0,3664'!B453</f>
        <v>0</v>
      </c>
      <c r="E340" s="163">
        <f>'инновации+добровольчество0,3664'!D453</f>
        <v>0</v>
      </c>
    </row>
    <row r="341" spans="1:5" hidden="1" x14ac:dyDescent="0.25">
      <c r="A341" s="613"/>
      <c r="B341" s="612"/>
      <c r="C341" s="108">
        <f>'инновации+добровольчество0,3664'!A449</f>
        <v>0</v>
      </c>
      <c r="D341" s="67">
        <f>'инновации+добровольчество0,3664'!B454</f>
        <v>0</v>
      </c>
      <c r="E341" s="163">
        <f>'инновации+добровольчество0,3664'!D454</f>
        <v>0</v>
      </c>
    </row>
    <row r="342" spans="1:5" hidden="1" x14ac:dyDescent="0.25">
      <c r="A342" s="613"/>
      <c r="B342" s="612"/>
      <c r="C342" s="108">
        <f>'инновации+добровольчество0,3664'!A450</f>
        <v>0</v>
      </c>
      <c r="D342" s="67">
        <f>'инновации+добровольчество0,3664'!B455</f>
        <v>0</v>
      </c>
      <c r="E342" s="163">
        <f>'инновации+добровольчество0,3664'!D455</f>
        <v>0</v>
      </c>
    </row>
    <row r="343" spans="1:5" hidden="1" x14ac:dyDescent="0.25">
      <c r="A343" s="613"/>
      <c r="B343" s="612"/>
      <c r="C343" s="108">
        <f>'инновации+добровольчество0,3664'!A451</f>
        <v>0</v>
      </c>
      <c r="D343" s="67">
        <f>'инновации+добровольчество0,3664'!B456</f>
        <v>0</v>
      </c>
      <c r="E343" s="163">
        <f>'инновации+добровольчество0,3664'!D456</f>
        <v>0</v>
      </c>
    </row>
    <row r="344" spans="1:5" hidden="1" x14ac:dyDescent="0.25">
      <c r="A344" s="613"/>
      <c r="B344" s="612"/>
      <c r="C344" s="108">
        <f>'инновации+добровольчество0,3664'!A452</f>
        <v>0</v>
      </c>
      <c r="D344" s="67">
        <f>'инновации+добровольчество0,3664'!B457</f>
        <v>0</v>
      </c>
      <c r="E344" s="163">
        <f>'инновации+добровольчество0,3664'!D457</f>
        <v>0</v>
      </c>
    </row>
    <row r="345" spans="1:5" hidden="1" x14ac:dyDescent="0.25">
      <c r="A345" s="613"/>
      <c r="B345" s="612"/>
      <c r="C345" s="108">
        <f>'инновации+добровольчество0,3664'!A453</f>
        <v>0</v>
      </c>
      <c r="D345" s="67">
        <f>'инновации+добровольчество0,3664'!B458</f>
        <v>0</v>
      </c>
      <c r="E345" s="163">
        <f>'инновации+добровольчество0,3664'!D458</f>
        <v>0</v>
      </c>
    </row>
    <row r="346" spans="1:5" hidden="1" x14ac:dyDescent="0.25">
      <c r="A346" s="613"/>
      <c r="B346" s="612"/>
      <c r="C346" s="108">
        <f>'инновации+добровольчество0,3664'!A454</f>
        <v>0</v>
      </c>
      <c r="D346" s="67">
        <f>'инновации+добровольчество0,3664'!B459</f>
        <v>0</v>
      </c>
      <c r="E346" s="163">
        <f>'инновации+добровольчество0,3664'!D459</f>
        <v>0</v>
      </c>
    </row>
    <row r="347" spans="1:5" hidden="1" x14ac:dyDescent="0.25">
      <c r="A347" s="613"/>
      <c r="B347" s="612"/>
      <c r="C347" s="108">
        <f>'инновации+добровольчество0,3664'!A455</f>
        <v>0</v>
      </c>
      <c r="D347" s="67">
        <f>'инновации+добровольчество0,3664'!B460</f>
        <v>0</v>
      </c>
      <c r="E347" s="163">
        <f>'инновации+добровольчество0,3664'!D460</f>
        <v>0</v>
      </c>
    </row>
    <row r="348" spans="1:5" hidden="1" x14ac:dyDescent="0.25">
      <c r="A348" s="613"/>
      <c r="B348" s="612"/>
      <c r="C348" s="108">
        <f>'инновации+добровольчество0,3664'!A456</f>
        <v>0</v>
      </c>
      <c r="D348" s="67">
        <f>'инновации+добровольчество0,3664'!B461</f>
        <v>0</v>
      </c>
      <c r="E348" s="163">
        <f>'инновации+добровольчество0,3664'!D461</f>
        <v>0</v>
      </c>
    </row>
    <row r="349" spans="1:5" hidden="1" x14ac:dyDescent="0.25">
      <c r="A349" s="613"/>
      <c r="B349" s="612"/>
      <c r="C349" s="108">
        <f>'инновации+добровольчество0,3664'!A457</f>
        <v>0</v>
      </c>
      <c r="D349" s="67">
        <f>'инновации+добровольчество0,3664'!B462</f>
        <v>0</v>
      </c>
      <c r="E349" s="163">
        <f>'инновации+добровольчество0,3664'!D462</f>
        <v>0</v>
      </c>
    </row>
    <row r="350" spans="1:5" hidden="1" x14ac:dyDescent="0.25">
      <c r="A350" s="613"/>
      <c r="B350" s="612"/>
      <c r="C350" s="108">
        <f>'инновации+добровольчество0,3664'!A458</f>
        <v>0</v>
      </c>
      <c r="D350" s="67">
        <f>'инновации+добровольчество0,3664'!B463</f>
        <v>0</v>
      </c>
      <c r="E350" s="163">
        <f>'инновации+добровольчество0,3664'!D463</f>
        <v>0</v>
      </c>
    </row>
    <row r="351" spans="1:5" hidden="1" x14ac:dyDescent="0.25">
      <c r="A351" s="613"/>
      <c r="B351" s="612"/>
      <c r="C351" s="108">
        <f>'инновации+добровольчество0,3664'!A459</f>
        <v>0</v>
      </c>
      <c r="D351" s="67">
        <f>'инновации+добровольчество0,3664'!B464</f>
        <v>0</v>
      </c>
      <c r="E351" s="163">
        <f>'инновации+добровольчество0,3664'!D464</f>
        <v>0</v>
      </c>
    </row>
    <row r="352" spans="1:5" hidden="1" x14ac:dyDescent="0.25">
      <c r="A352" s="613"/>
      <c r="B352" s="612"/>
      <c r="C352" s="108">
        <f>'инновации+добровольчество0,3664'!A460</f>
        <v>0</v>
      </c>
      <c r="D352" s="67">
        <f>'инновации+добровольчество0,3664'!B465</f>
        <v>0</v>
      </c>
      <c r="E352" s="163">
        <f>'инновации+добровольчество0,3664'!D465</f>
        <v>0</v>
      </c>
    </row>
    <row r="353" spans="1:5" hidden="1" x14ac:dyDescent="0.25">
      <c r="A353" s="613"/>
      <c r="B353" s="612"/>
      <c r="C353" s="108">
        <f>'инновации+добровольчество0,3664'!A461</f>
        <v>0</v>
      </c>
      <c r="D353" s="67">
        <f>'инновации+добровольчество0,3664'!B466</f>
        <v>0</v>
      </c>
      <c r="E353" s="163">
        <f>'инновации+добровольчество0,3664'!D466</f>
        <v>0</v>
      </c>
    </row>
    <row r="354" spans="1:5" hidden="1" x14ac:dyDescent="0.25">
      <c r="A354" s="613"/>
      <c r="B354" s="612"/>
      <c r="C354" s="108">
        <f>'инновации+добровольчество0,3664'!A462</f>
        <v>0</v>
      </c>
      <c r="D354" s="67">
        <f>'инновации+добровольчество0,3664'!B467</f>
        <v>0</v>
      </c>
      <c r="E354" s="163">
        <f>'инновации+добровольчество0,3664'!D467</f>
        <v>0</v>
      </c>
    </row>
    <row r="355" spans="1:5" hidden="1" x14ac:dyDescent="0.25">
      <c r="A355" s="613"/>
      <c r="B355" s="612"/>
      <c r="C355" s="108">
        <f>'инновации+добровольчество0,3664'!A463</f>
        <v>0</v>
      </c>
      <c r="D355" s="67">
        <f>'инновации+добровольчество0,3664'!B468</f>
        <v>0</v>
      </c>
      <c r="E355" s="163">
        <f>'инновации+добровольчество0,3664'!D468</f>
        <v>0</v>
      </c>
    </row>
    <row r="356" spans="1:5" hidden="1" x14ac:dyDescent="0.25">
      <c r="A356" s="613"/>
      <c r="B356" s="612"/>
      <c r="C356" s="108">
        <f>'инновации+добровольчество0,3664'!A464</f>
        <v>0</v>
      </c>
      <c r="D356" s="67">
        <f>'инновации+добровольчество0,3664'!B469</f>
        <v>0</v>
      </c>
      <c r="E356" s="163">
        <f>'инновации+добровольчество0,3664'!D469</f>
        <v>0</v>
      </c>
    </row>
    <row r="357" spans="1:5" hidden="1" x14ac:dyDescent="0.25">
      <c r="A357" s="613"/>
      <c r="B357" s="612"/>
      <c r="C357" s="108">
        <f>'инновации+добровольчество0,3664'!A465</f>
        <v>0</v>
      </c>
      <c r="D357" s="67">
        <f>'инновации+добровольчество0,3664'!B470</f>
        <v>0</v>
      </c>
      <c r="E357" s="163">
        <f>'инновации+добровольчество0,3664'!D470</f>
        <v>0</v>
      </c>
    </row>
    <row r="358" spans="1:5" hidden="1" x14ac:dyDescent="0.25">
      <c r="A358" s="613"/>
      <c r="B358" s="612"/>
      <c r="C358" s="108">
        <f>'инновации+добровольчество0,3664'!A466</f>
        <v>0</v>
      </c>
      <c r="D358" s="67">
        <f>'инновации+добровольчество0,3664'!B471</f>
        <v>0</v>
      </c>
      <c r="E358" s="163">
        <f>'инновации+добровольчество0,3664'!D471</f>
        <v>0</v>
      </c>
    </row>
    <row r="359" spans="1:5" hidden="1" x14ac:dyDescent="0.25">
      <c r="A359" s="613"/>
      <c r="B359" s="612"/>
      <c r="C359" s="108">
        <f>'инновации+добровольчество0,3664'!A467</f>
        <v>0</v>
      </c>
      <c r="D359" s="67">
        <f>'инновации+добровольчество0,3664'!B472</f>
        <v>0</v>
      </c>
      <c r="E359" s="163">
        <f>'инновации+добровольчество0,3664'!D472</f>
        <v>0</v>
      </c>
    </row>
    <row r="360" spans="1:5" hidden="1" x14ac:dyDescent="0.25">
      <c r="A360" s="613"/>
      <c r="B360" s="612"/>
      <c r="C360" s="108">
        <f>'инновации+добровольчество0,3664'!A468</f>
        <v>0</v>
      </c>
      <c r="D360" s="67">
        <f>'инновации+добровольчество0,3664'!B473</f>
        <v>0</v>
      </c>
      <c r="E360" s="163">
        <f>'инновации+добровольчество0,3664'!D473</f>
        <v>0</v>
      </c>
    </row>
    <row r="361" spans="1:5" hidden="1" x14ac:dyDescent="0.25">
      <c r="A361" s="613"/>
      <c r="B361" s="612"/>
      <c r="C361" s="108">
        <f>'инновации+добровольчество0,3664'!A469</f>
        <v>0</v>
      </c>
      <c r="D361" s="67">
        <f>'инновации+добровольчество0,3664'!B474</f>
        <v>0</v>
      </c>
      <c r="E361" s="163">
        <f>'инновации+добровольчество0,3664'!D474</f>
        <v>0</v>
      </c>
    </row>
    <row r="362" spans="1:5" hidden="1" x14ac:dyDescent="0.25">
      <c r="A362" s="613"/>
      <c r="B362" s="612"/>
      <c r="C362" s="108">
        <f>'инновации+добровольчество0,3664'!A470</f>
        <v>0</v>
      </c>
      <c r="D362" s="67">
        <f>'инновации+добровольчество0,3664'!B475</f>
        <v>0</v>
      </c>
      <c r="E362" s="163">
        <f>'инновации+добровольчество0,3664'!D475</f>
        <v>0</v>
      </c>
    </row>
    <row r="363" spans="1:5" hidden="1" x14ac:dyDescent="0.25">
      <c r="A363" s="613"/>
      <c r="B363" s="612"/>
      <c r="C363" s="108">
        <f>'инновации+добровольчество0,3664'!A471</f>
        <v>0</v>
      </c>
      <c r="D363" s="67">
        <f>'инновации+добровольчество0,3664'!B476</f>
        <v>0</v>
      </c>
      <c r="E363" s="163">
        <f>'инновации+добровольчество0,3664'!D476</f>
        <v>0</v>
      </c>
    </row>
    <row r="364" spans="1:5" hidden="1" x14ac:dyDescent="0.25">
      <c r="A364" s="613"/>
      <c r="B364" s="612"/>
      <c r="C364" s="108">
        <f>'инновации+добровольчество0,3664'!A472</f>
        <v>0</v>
      </c>
      <c r="D364" s="67">
        <f>'инновации+добровольчество0,3664'!B477</f>
        <v>0</v>
      </c>
      <c r="E364" s="163">
        <f>'инновации+добровольчество0,3664'!D477</f>
        <v>0</v>
      </c>
    </row>
    <row r="365" spans="1:5" hidden="1" x14ac:dyDescent="0.25">
      <c r="A365" s="613"/>
      <c r="B365" s="612"/>
      <c r="C365" s="108">
        <f>'инновации+добровольчество0,3664'!A473</f>
        <v>0</v>
      </c>
      <c r="D365" s="67">
        <f>'инновации+добровольчество0,3664'!B478</f>
        <v>0</v>
      </c>
      <c r="E365" s="163">
        <f>'инновации+добровольчество0,3664'!D478</f>
        <v>0</v>
      </c>
    </row>
    <row r="366" spans="1:5" hidden="1" x14ac:dyDescent="0.25">
      <c r="A366" s="613"/>
      <c r="B366" s="612"/>
      <c r="C366" s="108">
        <f>'инновации+добровольчество0,3664'!A474</f>
        <v>0</v>
      </c>
      <c r="D366" s="67">
        <f>'инновации+добровольчество0,3664'!B479</f>
        <v>0</v>
      </c>
      <c r="E366" s="163">
        <f>'инновации+добровольчество0,3664'!D479</f>
        <v>0</v>
      </c>
    </row>
    <row r="367" spans="1:5" hidden="1" x14ac:dyDescent="0.25">
      <c r="A367" s="613"/>
      <c r="B367" s="612"/>
      <c r="C367" s="108">
        <f>'инновации+добровольчество0,3664'!A475</f>
        <v>0</v>
      </c>
      <c r="D367" s="67">
        <f>'инновации+добровольчество0,3664'!B480</f>
        <v>0</v>
      </c>
      <c r="E367" s="163">
        <f>'инновации+добровольчество0,3664'!D480</f>
        <v>0</v>
      </c>
    </row>
    <row r="368" spans="1:5" hidden="1" x14ac:dyDescent="0.25">
      <c r="A368" s="613"/>
      <c r="B368" s="612"/>
      <c r="C368" s="108">
        <f>'инновации+добровольчество0,3664'!A476</f>
        <v>0</v>
      </c>
      <c r="D368" s="67">
        <f>'инновации+добровольчество0,3664'!B481</f>
        <v>0</v>
      </c>
      <c r="E368" s="163">
        <f>'инновации+добровольчество0,3664'!D481</f>
        <v>0</v>
      </c>
    </row>
    <row r="369" spans="1:5" hidden="1" x14ac:dyDescent="0.25">
      <c r="A369" s="613"/>
      <c r="B369" s="612"/>
      <c r="C369" s="108">
        <f>'инновации+добровольчество0,3664'!A477</f>
        <v>0</v>
      </c>
      <c r="D369" s="67">
        <f>'инновации+добровольчество0,3664'!B482</f>
        <v>0</v>
      </c>
      <c r="E369" s="163">
        <f>'инновации+добровольчество0,3664'!D482</f>
        <v>0</v>
      </c>
    </row>
    <row r="370" spans="1:5" hidden="1" x14ac:dyDescent="0.25">
      <c r="A370" s="613"/>
      <c r="B370" s="612"/>
      <c r="C370" s="108">
        <f>'инновации+добровольчество0,3664'!A478</f>
        <v>0</v>
      </c>
      <c r="D370" s="67">
        <f>'инновации+добровольчество0,3664'!B483</f>
        <v>0</v>
      </c>
      <c r="E370" s="163">
        <f>'инновации+добровольчество0,3664'!D483</f>
        <v>0</v>
      </c>
    </row>
    <row r="371" spans="1:5" hidden="1" x14ac:dyDescent="0.25">
      <c r="A371" s="613"/>
      <c r="B371" s="612"/>
      <c r="C371" s="108">
        <f>'инновации+добровольчество0,3664'!A479</f>
        <v>0</v>
      </c>
      <c r="D371" s="67">
        <f>'инновации+добровольчество0,3664'!B484</f>
        <v>0</v>
      </c>
      <c r="E371" s="163">
        <f>'инновации+добровольчество0,3664'!D484</f>
        <v>0</v>
      </c>
    </row>
    <row r="372" spans="1:5" hidden="1" x14ac:dyDescent="0.25">
      <c r="A372" s="613"/>
      <c r="B372" s="612"/>
      <c r="C372" s="108">
        <f>'инновации+добровольчество0,3664'!A480</f>
        <v>0</v>
      </c>
      <c r="D372" s="67">
        <f>'инновации+добровольчество0,3664'!B485</f>
        <v>0</v>
      </c>
      <c r="E372" s="163">
        <f>'инновации+добровольчество0,3664'!D485</f>
        <v>0</v>
      </c>
    </row>
    <row r="373" spans="1:5" hidden="1" x14ac:dyDescent="0.25">
      <c r="A373" s="613"/>
      <c r="B373" s="612"/>
      <c r="C373" s="108">
        <f>'инновации+добровольчество0,3664'!A481</f>
        <v>0</v>
      </c>
      <c r="D373" s="67">
        <f>'инновации+добровольчество0,3664'!B486</f>
        <v>0</v>
      </c>
      <c r="E373" s="163">
        <f>'инновации+добровольчество0,3664'!D486</f>
        <v>0</v>
      </c>
    </row>
    <row r="374" spans="1:5" hidden="1" x14ac:dyDescent="0.25">
      <c r="A374" s="613"/>
      <c r="B374" s="612"/>
      <c r="C374" s="108">
        <f>'инновации+добровольчество0,3664'!A482</f>
        <v>0</v>
      </c>
      <c r="D374" s="67">
        <f>'инновации+добровольчество0,3664'!B487</f>
        <v>0</v>
      </c>
      <c r="E374" s="163">
        <f>'инновации+добровольчество0,3664'!D487</f>
        <v>0</v>
      </c>
    </row>
    <row r="375" spans="1:5" hidden="1" x14ac:dyDescent="0.25">
      <c r="A375" s="613"/>
      <c r="B375" s="612"/>
      <c r="C375" s="108">
        <f>'инновации+добровольчество0,3664'!A483</f>
        <v>0</v>
      </c>
      <c r="D375" s="67">
        <f>'инновации+добровольчество0,3664'!B488</f>
        <v>0</v>
      </c>
      <c r="E375" s="163">
        <f>'инновации+добровольчество0,3664'!D488</f>
        <v>0</v>
      </c>
    </row>
    <row r="376" spans="1:5" hidden="1" x14ac:dyDescent="0.25">
      <c r="A376" s="613"/>
      <c r="B376" s="612"/>
      <c r="C376" s="108">
        <f>'инновации+добровольчество0,3664'!A484</f>
        <v>0</v>
      </c>
      <c r="D376" s="67">
        <f>'инновации+добровольчество0,3664'!B489</f>
        <v>0</v>
      </c>
      <c r="E376" s="163">
        <f>'инновации+добровольчество0,3664'!D489</f>
        <v>0</v>
      </c>
    </row>
    <row r="377" spans="1:5" hidden="1" x14ac:dyDescent="0.25">
      <c r="A377" s="613"/>
      <c r="B377" s="612"/>
      <c r="C377" s="108">
        <f>'инновации+добровольчество0,3664'!A485</f>
        <v>0</v>
      </c>
      <c r="D377" s="67">
        <f>'инновации+добровольчество0,3664'!B490</f>
        <v>0</v>
      </c>
      <c r="E377" s="163">
        <f>'инновации+добровольчество0,3664'!D490</f>
        <v>0</v>
      </c>
    </row>
    <row r="378" spans="1:5" hidden="1" x14ac:dyDescent="0.25">
      <c r="A378" s="613"/>
      <c r="B378" s="612"/>
      <c r="C378" s="108">
        <f>'инновации+добровольчество0,3664'!A486</f>
        <v>0</v>
      </c>
      <c r="D378" s="67">
        <f>'инновации+добровольчество0,3664'!B491</f>
        <v>0</v>
      </c>
      <c r="E378" s="163">
        <f>'инновации+добровольчество0,3664'!D491</f>
        <v>0</v>
      </c>
    </row>
    <row r="379" spans="1:5" hidden="1" x14ac:dyDescent="0.25">
      <c r="A379" s="613"/>
      <c r="B379" s="612"/>
      <c r="C379" s="108">
        <f>'инновации+добровольчество0,3664'!A487</f>
        <v>0</v>
      </c>
      <c r="D379" s="67">
        <f>'инновации+добровольчество0,3664'!B492</f>
        <v>0</v>
      </c>
      <c r="E379" s="163">
        <f>'инновации+добровольчество0,3664'!D492</f>
        <v>0</v>
      </c>
    </row>
    <row r="380" spans="1:5" hidden="1" x14ac:dyDescent="0.25">
      <c r="A380" s="613"/>
      <c r="B380" s="612"/>
      <c r="C380" s="108">
        <f>'инновации+добровольчество0,3664'!A488</f>
        <v>0</v>
      </c>
      <c r="D380" s="67">
        <f>'инновации+добровольчество0,3664'!B493</f>
        <v>0</v>
      </c>
      <c r="E380" s="163">
        <f>'инновации+добровольчество0,3664'!D493</f>
        <v>0</v>
      </c>
    </row>
    <row r="381" spans="1:5" hidden="1" x14ac:dyDescent="0.25">
      <c r="A381" s="613"/>
      <c r="B381" s="612"/>
      <c r="C381" s="108">
        <f>'инновации+добровольчество0,3664'!A489</f>
        <v>0</v>
      </c>
      <c r="D381" s="67">
        <f>'инновации+добровольчество0,3664'!B494</f>
        <v>0</v>
      </c>
      <c r="E381" s="163">
        <f>'инновации+добровольчество0,3664'!D494</f>
        <v>0</v>
      </c>
    </row>
    <row r="382" spans="1:5" hidden="1" x14ac:dyDescent="0.25">
      <c r="A382" s="613"/>
      <c r="B382" s="612"/>
      <c r="C382" s="108">
        <f>'инновации+добровольчество0,3664'!A490</f>
        <v>0</v>
      </c>
      <c r="D382" s="67">
        <f>'инновации+добровольчество0,3664'!B495</f>
        <v>0</v>
      </c>
      <c r="E382" s="163">
        <f>'инновации+добровольчество0,3664'!D495</f>
        <v>0</v>
      </c>
    </row>
    <row r="383" spans="1:5" hidden="1" x14ac:dyDescent="0.25">
      <c r="A383" s="613"/>
      <c r="B383" s="612"/>
      <c r="C383" s="108">
        <f>'инновации+добровольчество0,3664'!A491</f>
        <v>0</v>
      </c>
      <c r="D383" s="67">
        <f>'инновации+добровольчество0,3664'!B496</f>
        <v>0</v>
      </c>
      <c r="E383" s="163">
        <f>'инновации+добровольчество0,3664'!D496</f>
        <v>0</v>
      </c>
    </row>
    <row r="384" spans="1:5" hidden="1" x14ac:dyDescent="0.25">
      <c r="A384" s="613"/>
      <c r="B384" s="612"/>
      <c r="C384" s="108">
        <f>'инновации+добровольчество0,3664'!A492</f>
        <v>0</v>
      </c>
      <c r="D384" s="67">
        <f>'инновации+добровольчество0,3664'!B497</f>
        <v>0</v>
      </c>
      <c r="E384" s="163">
        <f>'инновации+добровольчество0,3664'!D497</f>
        <v>0</v>
      </c>
    </row>
    <row r="385" spans="1:5" hidden="1" x14ac:dyDescent="0.25">
      <c r="A385" s="613"/>
      <c r="B385" s="612"/>
      <c r="C385" s="108">
        <f>'инновации+добровольчество0,3664'!A493</f>
        <v>0</v>
      </c>
      <c r="D385" s="67">
        <f>'инновации+добровольчество0,3664'!B498</f>
        <v>0</v>
      </c>
      <c r="E385" s="163">
        <f>'инновации+добровольчество0,3664'!D498</f>
        <v>0</v>
      </c>
    </row>
    <row r="386" spans="1:5" ht="17.25" hidden="1" customHeight="1" x14ac:dyDescent="0.25">
      <c r="A386" s="613"/>
      <c r="B386" s="612"/>
      <c r="C386" s="108">
        <f>'инновации+добровольчество0,3664'!A494</f>
        <v>0</v>
      </c>
      <c r="D386" s="67">
        <f>'инновации+добровольчество0,3664'!B499</f>
        <v>0</v>
      </c>
      <c r="E386" s="163">
        <f>'инновации+добровольчество0,3664'!D499</f>
        <v>0</v>
      </c>
    </row>
    <row r="387" spans="1:5" hidden="1" x14ac:dyDescent="0.25">
      <c r="A387" s="613"/>
      <c r="B387" s="612"/>
      <c r="C387" s="108">
        <f>'инновации+добровольчество0,3664'!A495</f>
        <v>0</v>
      </c>
      <c r="D387" s="67">
        <f>'инновации+добровольчество0,3664'!B500</f>
        <v>0</v>
      </c>
      <c r="E387" s="163">
        <f>'инновации+добровольчество0,3664'!D500</f>
        <v>0</v>
      </c>
    </row>
    <row r="388" spans="1:5" hidden="1" x14ac:dyDescent="0.25">
      <c r="A388" s="613"/>
      <c r="B388" s="612"/>
      <c r="C388" s="108">
        <f>'инновации+добровольчество0,3664'!A496</f>
        <v>0</v>
      </c>
      <c r="D388" s="67">
        <f>'инновации+добровольчество0,3664'!B501</f>
        <v>0</v>
      </c>
      <c r="E388" s="163">
        <f>'инновации+добровольчество0,3664'!D501</f>
        <v>0</v>
      </c>
    </row>
    <row r="389" spans="1:5" hidden="1" x14ac:dyDescent="0.25">
      <c r="A389" s="613"/>
      <c r="B389" s="612"/>
      <c r="C389" s="108">
        <f>'инновации+добровольчество0,3664'!A497</f>
        <v>0</v>
      </c>
      <c r="D389" s="67">
        <f>'инновации+добровольчество0,3664'!B502</f>
        <v>0</v>
      </c>
      <c r="E389" s="163">
        <f>'инновации+добровольчество0,3664'!D502</f>
        <v>0</v>
      </c>
    </row>
    <row r="390" spans="1:5" hidden="1" x14ac:dyDescent="0.25">
      <c r="A390" s="613"/>
      <c r="B390" s="612"/>
      <c r="C390" s="108">
        <f>'инновации+добровольчество0,3664'!A498</f>
        <v>0</v>
      </c>
      <c r="D390" s="67">
        <f>'инновации+добровольчество0,3664'!B503</f>
        <v>0</v>
      </c>
      <c r="E390" s="163">
        <f>'инновации+добровольчество0,3664'!D503</f>
        <v>0</v>
      </c>
    </row>
    <row r="391" spans="1:5" hidden="1" x14ac:dyDescent="0.25">
      <c r="A391" s="613"/>
      <c r="B391" s="612"/>
      <c r="C391" s="108">
        <f>'инновации+добровольчество0,3664'!A499</f>
        <v>0</v>
      </c>
      <c r="D391" s="67">
        <f>'инновации+добровольчество0,3664'!B504</f>
        <v>0</v>
      </c>
      <c r="E391" s="163">
        <f>'инновации+добровольчество0,3664'!D504</f>
        <v>0</v>
      </c>
    </row>
    <row r="392" spans="1:5" hidden="1" x14ac:dyDescent="0.25">
      <c r="A392" s="613"/>
      <c r="B392" s="612"/>
      <c r="C392" s="108">
        <f>'инновации+добровольчество0,3664'!A500</f>
        <v>0</v>
      </c>
      <c r="D392" s="67">
        <f>'инновации+добровольчество0,3664'!B505</f>
        <v>0</v>
      </c>
      <c r="E392" s="163">
        <f>'инновации+добровольчество0,3664'!D505</f>
        <v>0</v>
      </c>
    </row>
    <row r="393" spans="1:5" hidden="1" x14ac:dyDescent="0.25">
      <c r="A393" s="613"/>
      <c r="B393" s="612"/>
      <c r="C393" s="108">
        <f>'инновации+добровольчество0,3664'!A501</f>
        <v>0</v>
      </c>
      <c r="D393" s="67">
        <f>'инновации+добровольчество0,3664'!B506</f>
        <v>0</v>
      </c>
      <c r="E393" s="163">
        <f>'инновации+добровольчество0,3664'!D506</f>
        <v>0</v>
      </c>
    </row>
    <row r="394" spans="1:5" hidden="1" x14ac:dyDescent="0.25">
      <c r="A394" s="613"/>
      <c r="B394" s="612"/>
      <c r="C394" s="108">
        <f>'инновации+добровольчество0,3664'!A502</f>
        <v>0</v>
      </c>
      <c r="D394" s="67">
        <f>'инновации+добровольчество0,3664'!B507</f>
        <v>0</v>
      </c>
      <c r="E394" s="163">
        <f>'инновации+добровольчество0,3664'!D507</f>
        <v>0</v>
      </c>
    </row>
    <row r="395" spans="1:5" hidden="1" x14ac:dyDescent="0.25">
      <c r="A395" s="613"/>
      <c r="B395" s="612"/>
      <c r="C395" s="108">
        <f>'инновации+добровольчество0,3664'!A503</f>
        <v>0</v>
      </c>
      <c r="D395" s="67">
        <f>'инновации+добровольчество0,3664'!B508</f>
        <v>0</v>
      </c>
      <c r="E395" s="163">
        <f>'инновации+добровольчество0,3664'!D508</f>
        <v>0</v>
      </c>
    </row>
    <row r="396" spans="1:5" hidden="1" x14ac:dyDescent="0.25">
      <c r="A396" s="613"/>
      <c r="B396" s="612"/>
      <c r="C396" s="108">
        <f>'инновации+добровольчество0,3664'!A504</f>
        <v>0</v>
      </c>
      <c r="D396" s="67">
        <f>'инновации+добровольчество0,3664'!B509</f>
        <v>0</v>
      </c>
      <c r="E396" s="163">
        <f>'инновации+добровольчество0,3664'!D509</f>
        <v>0</v>
      </c>
    </row>
    <row r="397" spans="1:5" hidden="1" x14ac:dyDescent="0.25">
      <c r="A397" s="613"/>
      <c r="B397" s="612"/>
      <c r="C397" s="108">
        <f>'инновации+добровольчество0,3664'!A505</f>
        <v>0</v>
      </c>
      <c r="D397" s="67">
        <f>'инновации+добровольчество0,3664'!B510</f>
        <v>0</v>
      </c>
      <c r="E397" s="163">
        <f>'инновации+добровольчество0,3664'!D510</f>
        <v>0</v>
      </c>
    </row>
    <row r="398" spans="1:5" hidden="1" x14ac:dyDescent="0.25">
      <c r="A398" s="613"/>
      <c r="B398" s="612"/>
      <c r="C398" s="108">
        <f>'инновации+добровольчество0,3664'!A506</f>
        <v>0</v>
      </c>
      <c r="D398" s="67">
        <f>'инновации+добровольчество0,3664'!B511</f>
        <v>0</v>
      </c>
      <c r="E398" s="163">
        <f>'инновации+добровольчество0,3664'!D511</f>
        <v>0</v>
      </c>
    </row>
    <row r="399" spans="1:5" hidden="1" x14ac:dyDescent="0.25">
      <c r="A399" s="613"/>
      <c r="B399" s="612"/>
      <c r="C399" s="108">
        <f>'инновации+добровольчество0,3664'!A507</f>
        <v>0</v>
      </c>
      <c r="D399" s="67">
        <f>'инновации+добровольчество0,3664'!B512</f>
        <v>0</v>
      </c>
      <c r="E399" s="163">
        <f>'инновации+добровольчество0,3664'!D512</f>
        <v>0</v>
      </c>
    </row>
    <row r="400" spans="1:5" hidden="1" x14ac:dyDescent="0.25">
      <c r="A400" s="613"/>
      <c r="B400" s="612"/>
      <c r="C400" s="108">
        <f>'инновации+добровольчество0,3664'!A508</f>
        <v>0</v>
      </c>
      <c r="D400" s="67">
        <f>'инновации+добровольчество0,3664'!B513</f>
        <v>0</v>
      </c>
      <c r="E400" s="163">
        <f>'инновации+добровольчество0,3664'!D513</f>
        <v>0</v>
      </c>
    </row>
    <row r="401" spans="1:5" hidden="1" x14ac:dyDescent="0.25">
      <c r="A401" s="613"/>
      <c r="B401" s="612"/>
      <c r="C401" s="108">
        <f>'инновации+добровольчество0,3664'!A509</f>
        <v>0</v>
      </c>
      <c r="D401" s="67">
        <f>'инновации+добровольчество0,3664'!B514</f>
        <v>0</v>
      </c>
      <c r="E401" s="163">
        <f>'инновации+добровольчество0,3664'!D514</f>
        <v>0</v>
      </c>
    </row>
    <row r="402" spans="1:5" hidden="1" x14ac:dyDescent="0.25">
      <c r="C402" s="108">
        <f>'инновации+добровольчество0,3664'!A510</f>
        <v>0</v>
      </c>
    </row>
    <row r="403" spans="1:5" hidden="1" x14ac:dyDescent="0.25">
      <c r="C403" s="108">
        <f>'инновации+добровольчество0,3664'!A511</f>
        <v>0</v>
      </c>
    </row>
    <row r="404" spans="1:5" hidden="1" x14ac:dyDescent="0.25">
      <c r="C404" s="108">
        <f>'инновации+добровольчество0,3664'!A512</f>
        <v>0</v>
      </c>
    </row>
    <row r="405" spans="1:5" hidden="1" x14ac:dyDescent="0.25">
      <c r="C405" s="108">
        <f>'инновации+добровольчество0,3664'!A513</f>
        <v>0</v>
      </c>
    </row>
    <row r="406" spans="1:5" hidden="1" x14ac:dyDescent="0.25">
      <c r="C406" s="108">
        <f>'инновации+добровольчество0,3664'!A514</f>
        <v>0</v>
      </c>
    </row>
    <row r="407" spans="1:5" hidden="1" x14ac:dyDescent="0.25">
      <c r="C407" s="108">
        <f>'инновации+добровольчество0,3664'!A515</f>
        <v>0</v>
      </c>
    </row>
    <row r="408" spans="1:5" hidden="1" x14ac:dyDescent="0.25">
      <c r="C408" s="108">
        <f>'инновации+добровольчество0,3664'!A516</f>
        <v>0</v>
      </c>
    </row>
    <row r="409" spans="1:5" hidden="1" x14ac:dyDescent="0.25">
      <c r="C409" s="108">
        <f>'инновации+добровольчество0,3664'!A517</f>
        <v>0</v>
      </c>
    </row>
    <row r="410" spans="1:5" hidden="1" x14ac:dyDescent="0.25">
      <c r="C410" s="108">
        <f>'инновации+добровольчество0,3664'!A518</f>
        <v>0</v>
      </c>
    </row>
    <row r="411" spans="1:5" hidden="1" x14ac:dyDescent="0.25">
      <c r="C411" s="108">
        <f>'инновации+добровольчество0,3664'!A519</f>
        <v>0</v>
      </c>
    </row>
    <row r="412" spans="1:5" hidden="1" x14ac:dyDescent="0.25">
      <c r="C412" s="108">
        <f>'инновации+добровольчество0,3664'!A520</f>
        <v>0</v>
      </c>
    </row>
    <row r="413" spans="1:5" hidden="1" x14ac:dyDescent="0.25">
      <c r="C413" s="108">
        <f>'инновации+добровольчество0,3664'!A521</f>
        <v>0</v>
      </c>
    </row>
    <row r="414" spans="1:5" hidden="1" x14ac:dyDescent="0.25">
      <c r="C414" s="108">
        <f>'инновации+добровольчество0,3664'!A522</f>
        <v>0</v>
      </c>
    </row>
    <row r="415" spans="1:5" hidden="1" x14ac:dyDescent="0.25">
      <c r="C415" s="108">
        <f>'инновации+добровольчество0,3664'!A523</f>
        <v>0</v>
      </c>
    </row>
    <row r="416" spans="1:5" hidden="1" x14ac:dyDescent="0.25">
      <c r="C416" s="108">
        <f>'инновации+добровольчество0,3664'!A524</f>
        <v>0</v>
      </c>
    </row>
    <row r="417" spans="3:3" hidden="1" x14ac:dyDescent="0.25">
      <c r="C417" s="108">
        <f>'инновации+добровольчество0,3664'!A525</f>
        <v>0</v>
      </c>
    </row>
    <row r="418" spans="3:3" hidden="1" x14ac:dyDescent="0.25">
      <c r="C418" s="108">
        <f>'инновации+добровольчество0,3664'!A526</f>
        <v>0</v>
      </c>
    </row>
    <row r="419" spans="3:3" hidden="1" x14ac:dyDescent="0.25">
      <c r="C419" s="108">
        <f>'инновации+добровольчество0,3664'!A527</f>
        <v>0</v>
      </c>
    </row>
    <row r="420" spans="3:3" hidden="1" x14ac:dyDescent="0.25">
      <c r="C420" s="108">
        <f>'инновации+добровольчество0,3664'!A528</f>
        <v>0</v>
      </c>
    </row>
    <row r="421" spans="3:3" hidden="1" x14ac:dyDescent="0.25">
      <c r="C421" s="108">
        <f>'инновации+добровольчество0,3664'!A529</f>
        <v>0</v>
      </c>
    </row>
    <row r="422" spans="3:3" hidden="1" x14ac:dyDescent="0.25">
      <c r="C422" s="108">
        <f>'инновации+добровольчество0,3664'!A530</f>
        <v>0</v>
      </c>
    </row>
    <row r="423" spans="3:3" hidden="1" x14ac:dyDescent="0.25">
      <c r="C423" s="108">
        <f>'инновации+добровольчество0,3664'!A531</f>
        <v>0</v>
      </c>
    </row>
    <row r="424" spans="3:3" hidden="1" x14ac:dyDescent="0.25">
      <c r="C424" s="108">
        <f>'инновации+добровольчество0,3664'!A532</f>
        <v>0</v>
      </c>
    </row>
    <row r="425" spans="3:3" hidden="1" x14ac:dyDescent="0.25">
      <c r="C425" s="108">
        <f>'инновации+добровольчество0,3664'!A533</f>
        <v>0</v>
      </c>
    </row>
    <row r="426" spans="3:3" hidden="1" x14ac:dyDescent="0.25">
      <c r="C426" s="108">
        <f>'инновации+добровольчество0,3664'!A534</f>
        <v>0</v>
      </c>
    </row>
    <row r="427" spans="3:3" hidden="1" x14ac:dyDescent="0.25">
      <c r="C427" s="108">
        <f>'инновации+добровольчество0,3664'!A535</f>
        <v>0</v>
      </c>
    </row>
    <row r="428" spans="3:3" hidden="1" x14ac:dyDescent="0.25">
      <c r="C428" s="108">
        <f>'инновации+добровольчество0,3664'!A536</f>
        <v>0</v>
      </c>
    </row>
    <row r="429" spans="3:3" hidden="1" x14ac:dyDescent="0.25">
      <c r="C429" s="108">
        <f>'инновации+добровольчество0,3664'!A537</f>
        <v>0</v>
      </c>
    </row>
    <row r="430" spans="3:3" hidden="1" x14ac:dyDescent="0.25">
      <c r="C430" s="108">
        <f>'инновации+добровольчество0,3664'!A538</f>
        <v>0</v>
      </c>
    </row>
    <row r="431" spans="3:3" hidden="1" x14ac:dyDescent="0.25">
      <c r="C431" s="108">
        <f>'инновации+добровольчество0,3664'!A539</f>
        <v>0</v>
      </c>
    </row>
    <row r="432" spans="3:3" hidden="1" x14ac:dyDescent="0.25">
      <c r="C432" s="108">
        <f>'инновации+добровольчество0,3664'!A540</f>
        <v>0</v>
      </c>
    </row>
    <row r="433" spans="3:3" hidden="1" x14ac:dyDescent="0.25">
      <c r="C433" s="108">
        <f>'инновации+добровольчество0,3664'!A541</f>
        <v>0</v>
      </c>
    </row>
    <row r="434" spans="3:3" hidden="1" x14ac:dyDescent="0.25">
      <c r="C434" s="108">
        <f>'инновации+добровольчество0,3664'!A542</f>
        <v>0</v>
      </c>
    </row>
    <row r="435" spans="3:3" hidden="1" x14ac:dyDescent="0.25">
      <c r="C435" s="108">
        <f>'инновации+добровольчество0,3664'!A543</f>
        <v>0</v>
      </c>
    </row>
    <row r="436" spans="3:3" hidden="1" x14ac:dyDescent="0.25">
      <c r="C436" s="108">
        <f>'инновации+добровольчество0,3664'!A544</f>
        <v>0</v>
      </c>
    </row>
    <row r="437" spans="3:3" hidden="1" x14ac:dyDescent="0.25">
      <c r="C437" s="108">
        <f>'инновации+добровольчество0,3664'!A545</f>
        <v>0</v>
      </c>
    </row>
    <row r="438" spans="3:3" hidden="1" x14ac:dyDescent="0.25">
      <c r="C438" s="108">
        <f>'инновации+добровольчество0,3664'!A546</f>
        <v>0</v>
      </c>
    </row>
    <row r="439" spans="3:3" hidden="1" x14ac:dyDescent="0.25">
      <c r="C439" s="108">
        <f>'инновации+добровольчество0,3664'!A547</f>
        <v>0</v>
      </c>
    </row>
    <row r="440" spans="3:3" hidden="1" x14ac:dyDescent="0.25">
      <c r="C440" s="108">
        <f>'инновации+добровольчество0,3664'!A548</f>
        <v>0</v>
      </c>
    </row>
    <row r="441" spans="3:3" hidden="1" x14ac:dyDescent="0.25">
      <c r="C441" s="108">
        <f>'инновации+добровольчество0,3664'!A549</f>
        <v>0</v>
      </c>
    </row>
    <row r="442" spans="3:3" hidden="1" x14ac:dyDescent="0.25">
      <c r="C442" s="108">
        <f>'инновации+добровольчество0,3664'!A550</f>
        <v>0</v>
      </c>
    </row>
  </sheetData>
  <mergeCells count="18">
    <mergeCell ref="D1:E1"/>
    <mergeCell ref="A3:E3"/>
    <mergeCell ref="A4:E4"/>
    <mergeCell ref="C7:E7"/>
    <mergeCell ref="C8:E8"/>
    <mergeCell ref="C151:E151"/>
    <mergeCell ref="C157:E157"/>
    <mergeCell ref="B7:B401"/>
    <mergeCell ref="A7:A401"/>
    <mergeCell ref="C15:E15"/>
    <mergeCell ref="C96:E96"/>
    <mergeCell ref="C97:E97"/>
    <mergeCell ref="C104:E104"/>
    <mergeCell ref="C138:E138"/>
    <mergeCell ref="C146:E146"/>
    <mergeCell ref="C153:E153"/>
    <mergeCell ref="C160:E160"/>
    <mergeCell ref="C11:E11"/>
  </mergeCells>
  <pageMargins left="0.70866141732283472" right="0.70866141732283472" top="0.34" bottom="0.74803149606299213" header="0.16" footer="0.31496062992125984"/>
  <pageSetup paperSize="9" scale="55" fitToHeight="4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  <pageSetUpPr fitToPage="1"/>
  </sheetPr>
  <dimension ref="A1:K526"/>
  <sheetViews>
    <sheetView view="pageBreakPreview" zoomScale="85" zoomScaleNormal="70" zoomScaleSheetLayoutView="85" workbookViewId="0">
      <selection activeCell="A2" sqref="A2"/>
    </sheetView>
  </sheetViews>
  <sheetFormatPr defaultColWidth="25.375" defaultRowHeight="15" x14ac:dyDescent="0.25"/>
  <cols>
    <col min="1" max="1" width="60.75" style="38" customWidth="1"/>
    <col min="2" max="2" width="16.875" style="38" customWidth="1"/>
    <col min="3" max="3" width="0.25" style="38" hidden="1" customWidth="1"/>
    <col min="4" max="4" width="20.75" style="38" customWidth="1"/>
    <col min="5" max="5" width="21" style="38" customWidth="1"/>
    <col min="6" max="6" width="21.25" style="38" customWidth="1"/>
    <col min="7" max="7" width="22.75" style="39" customWidth="1"/>
    <col min="8" max="8" width="20.75" style="38" customWidth="1"/>
    <col min="9" max="16384" width="25.375" style="38"/>
  </cols>
  <sheetData>
    <row r="1" spans="1:9" x14ac:dyDescent="0.25">
      <c r="A1" s="668" t="str">
        <f>'таланты+инициативы0,2672'!A1:F1</f>
        <v>Учреждение: Муниципальное бюджетное учреждение  «Молодежный центр » Северо- Енисейского района</v>
      </c>
      <c r="B1" s="668"/>
      <c r="C1" s="668"/>
      <c r="D1" s="668"/>
      <c r="E1" s="668"/>
      <c r="F1" s="668"/>
      <c r="G1" s="668"/>
      <c r="H1" s="668"/>
    </row>
    <row r="2" spans="1:9" x14ac:dyDescent="0.25">
      <c r="A2" s="307" t="str">
        <f>'таланты+инициативы0,2672'!A2</f>
        <v>на 21.10.2022 год</v>
      </c>
      <c r="B2" s="307"/>
      <c r="C2" s="307"/>
      <c r="D2" s="307"/>
    </row>
    <row r="3" spans="1:9" ht="48" customHeight="1" x14ac:dyDescent="0.25">
      <c r="A3" s="40" t="s">
        <v>213</v>
      </c>
      <c r="B3" s="668" t="s">
        <v>50</v>
      </c>
      <c r="C3" s="668"/>
      <c r="D3" s="668"/>
      <c r="E3" s="668"/>
      <c r="F3" s="668"/>
      <c r="G3" s="668"/>
      <c r="H3" s="668"/>
      <c r="I3" s="165"/>
    </row>
    <row r="4" spans="1:9" x14ac:dyDescent="0.25">
      <c r="A4" s="690" t="s">
        <v>219</v>
      </c>
      <c r="B4" s="690"/>
      <c r="C4" s="690"/>
      <c r="D4" s="690"/>
      <c r="E4" s="690"/>
    </row>
    <row r="5" spans="1:9" x14ac:dyDescent="0.25">
      <c r="A5" s="691" t="s">
        <v>43</v>
      </c>
      <c r="B5" s="691"/>
      <c r="C5" s="691"/>
      <c r="D5" s="691"/>
      <c r="E5" s="691"/>
    </row>
    <row r="6" spans="1:9" x14ac:dyDescent="0.25">
      <c r="A6" s="691" t="s">
        <v>199</v>
      </c>
      <c r="B6" s="691"/>
      <c r="C6" s="691"/>
      <c r="D6" s="691"/>
      <c r="E6" s="691"/>
    </row>
    <row r="7" spans="1:9" ht="29.25" customHeight="1" x14ac:dyDescent="0.25">
      <c r="A7" s="669" t="s">
        <v>218</v>
      </c>
      <c r="B7" s="669"/>
      <c r="C7" s="669"/>
      <c r="D7" s="669"/>
      <c r="E7" s="669"/>
    </row>
    <row r="8" spans="1:9" ht="15.75" x14ac:dyDescent="0.25">
      <c r="A8" s="669" t="s">
        <v>47</v>
      </c>
      <c r="B8" s="669"/>
      <c r="C8" s="669"/>
      <c r="D8" s="669"/>
      <c r="E8" s="669"/>
      <c r="F8" s="3"/>
    </row>
    <row r="9" spans="1:9" ht="31.5" x14ac:dyDescent="0.25">
      <c r="A9" s="99" t="s">
        <v>34</v>
      </c>
      <c r="B9" s="68" t="s">
        <v>9</v>
      </c>
      <c r="C9" s="69"/>
      <c r="D9" s="670" t="s">
        <v>10</v>
      </c>
      <c r="E9" s="671"/>
      <c r="F9" s="306" t="s">
        <v>9</v>
      </c>
    </row>
    <row r="10" spans="1:9" ht="15.75" x14ac:dyDescent="0.25">
      <c r="A10" s="99"/>
      <c r="B10" s="353"/>
      <c r="C10" s="353"/>
      <c r="D10" s="672" t="s">
        <v>187</v>
      </c>
      <c r="E10" s="673"/>
      <c r="F10" s="70">
        <v>1</v>
      </c>
    </row>
    <row r="11" spans="1:9" ht="15.75" x14ac:dyDescent="0.25">
      <c r="A11" s="68" t="s">
        <v>93</v>
      </c>
      <c r="B11" s="353">
        <v>1</v>
      </c>
      <c r="C11" s="353"/>
      <c r="D11" s="309" t="str">
        <f>'[1]2016'!$AE$25</f>
        <v>Водитель</v>
      </c>
      <c r="E11" s="310"/>
      <c r="F11" s="353">
        <v>1</v>
      </c>
    </row>
    <row r="12" spans="1:9" ht="26.45" customHeight="1" x14ac:dyDescent="0.25">
      <c r="A12" s="68" t="str">
        <f>'[1]2016'!$AE$19</f>
        <v>Специалист по работе с молодежью</v>
      </c>
      <c r="B12" s="353">
        <v>5.6</v>
      </c>
      <c r="C12" s="353"/>
      <c r="D12" s="674" t="s">
        <v>87</v>
      </c>
      <c r="E12" s="675"/>
      <c r="F12" s="353">
        <v>0.5</v>
      </c>
    </row>
    <row r="13" spans="1:9" ht="15.6" customHeight="1" x14ac:dyDescent="0.25">
      <c r="A13" s="68"/>
      <c r="B13" s="353"/>
      <c r="C13" s="353"/>
      <c r="D13" s="309" t="str">
        <f>'[1]2016'!$AE$26</f>
        <v xml:space="preserve">Уборщик служебных помещений </v>
      </c>
      <c r="E13" s="310"/>
      <c r="F13" s="353">
        <v>1</v>
      </c>
    </row>
    <row r="14" spans="1:9" ht="15.75" x14ac:dyDescent="0.25">
      <c r="A14" s="71" t="s">
        <v>57</v>
      </c>
      <c r="B14" s="72">
        <f>SUM(B10:B12)</f>
        <v>6.6</v>
      </c>
      <c r="C14" s="71"/>
      <c r="D14" s="676" t="s">
        <v>57</v>
      </c>
      <c r="E14" s="677"/>
      <c r="F14" s="72">
        <f>SUM(F10:F13)</f>
        <v>3.5</v>
      </c>
    </row>
    <row r="15" spans="1:9" x14ac:dyDescent="0.25">
      <c r="A15" s="41" t="str">
        <f>'патриотика0,3664'!A14</f>
        <v>Затраты на оплату труда работников, непосредственно связанных с выполнением работы</v>
      </c>
    </row>
    <row r="16" spans="1:9" x14ac:dyDescent="0.25">
      <c r="A16" s="692" t="s">
        <v>333</v>
      </c>
      <c r="B16" s="692"/>
      <c r="C16" s="692"/>
      <c r="D16" s="692"/>
      <c r="E16" s="692"/>
      <c r="F16" s="692"/>
    </row>
    <row r="17" spans="1:9" ht="15.75" x14ac:dyDescent="0.25">
      <c r="A17" s="10" t="s">
        <v>329</v>
      </c>
      <c r="B17" s="42"/>
      <c r="C17" s="42"/>
      <c r="D17" s="42"/>
    </row>
    <row r="18" spans="1:9" x14ac:dyDescent="0.25">
      <c r="A18" s="693" t="s">
        <v>45</v>
      </c>
      <c r="B18" s="693"/>
      <c r="C18" s="693"/>
      <c r="D18" s="693"/>
      <c r="E18" s="693"/>
      <c r="F18" s="693"/>
    </row>
    <row r="19" spans="1:9" x14ac:dyDescent="0.25">
      <c r="A19" s="689"/>
      <c r="B19" s="689"/>
      <c r="C19" s="321"/>
      <c r="D19" s="43">
        <v>0.3664</v>
      </c>
      <c r="E19" s="43"/>
    </row>
    <row r="20" spans="1:9" ht="15.6" customHeight="1" x14ac:dyDescent="0.25">
      <c r="A20" s="646" t="s">
        <v>0</v>
      </c>
      <c r="B20" s="646" t="s">
        <v>1</v>
      </c>
      <c r="C20" s="324"/>
      <c r="D20" s="646" t="s">
        <v>2</v>
      </c>
      <c r="E20" s="638" t="s">
        <v>3</v>
      </c>
      <c r="F20" s="639"/>
      <c r="G20" s="647" t="s">
        <v>35</v>
      </c>
      <c r="H20" s="324" t="s">
        <v>5</v>
      </c>
      <c r="I20" s="646" t="s">
        <v>6</v>
      </c>
    </row>
    <row r="21" spans="1:9" ht="30" x14ac:dyDescent="0.25">
      <c r="A21" s="646"/>
      <c r="B21" s="646"/>
      <c r="C21" s="324"/>
      <c r="D21" s="646"/>
      <c r="E21" s="324" t="s">
        <v>330</v>
      </c>
      <c r="F21" s="324" t="s">
        <v>319</v>
      </c>
      <c r="G21" s="647"/>
      <c r="H21" s="324" t="s">
        <v>51</v>
      </c>
      <c r="I21" s="646"/>
    </row>
    <row r="22" spans="1:9" ht="15.75" customHeight="1" x14ac:dyDescent="0.25">
      <c r="A22" s="646"/>
      <c r="B22" s="646"/>
      <c r="C22" s="324"/>
      <c r="D22" s="646"/>
      <c r="E22" s="324" t="s">
        <v>4</v>
      </c>
      <c r="F22" s="53"/>
      <c r="G22" s="647"/>
      <c r="H22" s="324" t="s">
        <v>332</v>
      </c>
      <c r="I22" s="646"/>
    </row>
    <row r="23" spans="1:9" x14ac:dyDescent="0.25">
      <c r="A23" s="646">
        <v>1</v>
      </c>
      <c r="B23" s="646">
        <v>2</v>
      </c>
      <c r="C23" s="324"/>
      <c r="D23" s="646">
        <v>3</v>
      </c>
      <c r="E23" s="646" t="s">
        <v>331</v>
      </c>
      <c r="F23" s="646">
        <v>5</v>
      </c>
      <c r="G23" s="647" t="s">
        <v>7</v>
      </c>
      <c r="H23" s="324" t="s">
        <v>52</v>
      </c>
      <c r="I23" s="646" t="s">
        <v>53</v>
      </c>
    </row>
    <row r="24" spans="1:9" x14ac:dyDescent="0.25">
      <c r="A24" s="646"/>
      <c r="B24" s="646"/>
      <c r="C24" s="324"/>
      <c r="D24" s="646"/>
      <c r="E24" s="646"/>
      <c r="F24" s="646"/>
      <c r="G24" s="647"/>
      <c r="H24" s="54">
        <v>1775.4</v>
      </c>
      <c r="I24" s="646"/>
    </row>
    <row r="25" spans="1:9" x14ac:dyDescent="0.25">
      <c r="A25" s="55" t="str">
        <f>'патриотика0,3664'!A24</f>
        <v>Методист</v>
      </c>
      <c r="B25" s="87">
        <f>'патриотика0,3664'!B24</f>
        <v>70163.8</v>
      </c>
      <c r="C25" s="87"/>
      <c r="D25" s="324">
        <f>'патриотика0,3664'!D24</f>
        <v>0.3664</v>
      </c>
      <c r="E25" s="56">
        <f>'патриотика0,3664'!E24</f>
        <v>650.14016000000004</v>
      </c>
      <c r="F25" s="57">
        <v>1</v>
      </c>
      <c r="G25" s="58">
        <v>650.1</v>
      </c>
      <c r="H25" s="56">
        <v>561.70000000000005</v>
      </c>
      <c r="I25" s="56">
        <f>'патриотика0,3664'!I24</f>
        <v>428043.03698368004</v>
      </c>
    </row>
    <row r="26" spans="1:9" x14ac:dyDescent="0.25">
      <c r="A26" s="122" t="str">
        <f>A12</f>
        <v>Специалист по работе с молодежью</v>
      </c>
      <c r="B26" s="166">
        <f>'патриотика0,3664'!B25</f>
        <v>50029.599999999999</v>
      </c>
      <c r="C26" s="166"/>
      <c r="D26" s="484">
        <f>'патриотика0,3664'!D25</f>
        <v>2.0518399999999999</v>
      </c>
      <c r="E26" s="56">
        <f>'патриотика0,3664'!E25</f>
        <v>3640.7848960000001</v>
      </c>
      <c r="F26" s="57">
        <v>1</v>
      </c>
      <c r="G26" s="58">
        <f>'патриотика0,3664'!G25</f>
        <v>3640.7848960000001</v>
      </c>
      <c r="H26" s="56">
        <f>B26*1.302/1774.4*12</f>
        <v>440.52213165013529</v>
      </c>
      <c r="I26" s="56">
        <f>'патриотика0,3664'!I25</f>
        <v>1670941.6732655363</v>
      </c>
    </row>
    <row r="27" spans="1:9" x14ac:dyDescent="0.25">
      <c r="A27" s="55" t="s">
        <v>8</v>
      </c>
      <c r="B27" s="58"/>
      <c r="C27" s="58"/>
      <c r="D27" s="324"/>
      <c r="E27" s="56"/>
      <c r="F27" s="57"/>
      <c r="G27" s="167"/>
      <c r="H27" s="88"/>
      <c r="I27" s="274">
        <f>SUM(I25:I26)</f>
        <v>2098984.7102492163</v>
      </c>
    </row>
    <row r="28" spans="1:9" x14ac:dyDescent="0.25">
      <c r="A28" s="141"/>
      <c r="B28" s="142"/>
      <c r="C28" s="142"/>
      <c r="D28" s="337"/>
      <c r="E28" s="143"/>
      <c r="F28" s="144"/>
      <c r="G28" s="168"/>
      <c r="H28" s="169"/>
    </row>
    <row r="29" spans="1:9" ht="14.45" hidden="1" customHeight="1" x14ac:dyDescent="0.25">
      <c r="A29" s="700" t="s">
        <v>166</v>
      </c>
      <c r="B29" s="700"/>
      <c r="C29" s="700"/>
      <c r="D29" s="700"/>
      <c r="E29" s="700"/>
      <c r="F29" s="700"/>
      <c r="G29" s="700"/>
      <c r="H29" s="700"/>
      <c r="I29" s="146"/>
    </row>
    <row r="30" spans="1:9" hidden="1" x14ac:dyDescent="0.25">
      <c r="A30" s="649" t="s">
        <v>60</v>
      </c>
      <c r="B30" s="679" t="s">
        <v>155</v>
      </c>
      <c r="C30" s="679"/>
      <c r="D30" s="679" t="s">
        <v>156</v>
      </c>
      <c r="E30" s="679"/>
      <c r="F30" s="679"/>
      <c r="G30" s="680"/>
      <c r="H30" s="680"/>
    </row>
    <row r="31" spans="1:9" hidden="1" x14ac:dyDescent="0.25">
      <c r="A31" s="650"/>
      <c r="B31" s="679"/>
      <c r="C31" s="679"/>
      <c r="D31" s="679" t="s">
        <v>157</v>
      </c>
      <c r="E31" s="649" t="s">
        <v>158</v>
      </c>
      <c r="F31" s="681" t="s">
        <v>159</v>
      </c>
      <c r="G31" s="649" t="s">
        <v>165</v>
      </c>
      <c r="H31" s="649" t="s">
        <v>6</v>
      </c>
    </row>
    <row r="32" spans="1:9" hidden="1" x14ac:dyDescent="0.25">
      <c r="A32" s="651"/>
      <c r="B32" s="679"/>
      <c r="C32" s="679"/>
      <c r="D32" s="679"/>
      <c r="E32" s="651"/>
      <c r="F32" s="681"/>
      <c r="G32" s="651"/>
      <c r="H32" s="651"/>
    </row>
    <row r="33" spans="1:11" hidden="1" x14ac:dyDescent="0.25">
      <c r="A33" s="315">
        <v>1</v>
      </c>
      <c r="B33" s="663">
        <v>2</v>
      </c>
      <c r="C33" s="664"/>
      <c r="D33" s="315">
        <v>3</v>
      </c>
      <c r="E33" s="315">
        <v>4</v>
      </c>
      <c r="F33" s="315">
        <v>5</v>
      </c>
      <c r="G33" s="171">
        <v>6</v>
      </c>
      <c r="H33" s="171">
        <v>7</v>
      </c>
    </row>
    <row r="34" spans="1:11" hidden="1" x14ac:dyDescent="0.25">
      <c r="A34" s="313" t="s">
        <v>93</v>
      </c>
      <c r="B34" s="313">
        <v>0.36699999999999999</v>
      </c>
      <c r="C34" s="314">
        <v>1</v>
      </c>
      <c r="D34" s="145">
        <v>2074.6</v>
      </c>
      <c r="E34" s="109">
        <f t="shared" ref="E34:E35" si="0">D34*12</f>
        <v>24895.199999999997</v>
      </c>
      <c r="F34" s="145">
        <f>18363.9*0.367</f>
        <v>6739.5513000000001</v>
      </c>
      <c r="G34" s="172">
        <f>F34*30.2%</f>
        <v>2035.3444926</v>
      </c>
      <c r="H34" s="172">
        <f>F34+G34</f>
        <v>8774.8957926000003</v>
      </c>
    </row>
    <row r="35" spans="1:11" hidden="1" x14ac:dyDescent="0.25">
      <c r="A35" s="313" t="s">
        <v>161</v>
      </c>
      <c r="B35" s="663">
        <f>5.6*0.367</f>
        <v>2.0551999999999997</v>
      </c>
      <c r="C35" s="664"/>
      <c r="D35" s="145">
        <f>1302.85*B35</f>
        <v>2677.6173199999994</v>
      </c>
      <c r="E35" s="109">
        <f t="shared" si="0"/>
        <v>32131.407839999993</v>
      </c>
      <c r="F35" s="145">
        <f>64311.87*0.367</f>
        <v>23602.456290000002</v>
      </c>
      <c r="G35" s="172">
        <f>F35*30.2%</f>
        <v>7127.9417995800004</v>
      </c>
      <c r="H35" s="172">
        <f>F35+G35</f>
        <v>30730.398089580001</v>
      </c>
    </row>
    <row r="36" spans="1:11" hidden="1" x14ac:dyDescent="0.25">
      <c r="A36" s="311"/>
      <c r="B36" s="678">
        <f>SUM(B34:C35)</f>
        <v>3.4221999999999997</v>
      </c>
      <c r="C36" s="678"/>
      <c r="D36" s="124">
        <f>SUM(D34:D35)</f>
        <v>4752.2173199999997</v>
      </c>
      <c r="E36" s="124">
        <f>SUM(E34:E35)</f>
        <v>57026.60783999999</v>
      </c>
      <c r="F36" s="124">
        <f>SUM(F34:F35)</f>
        <v>30342.007590000001</v>
      </c>
      <c r="G36" s="124">
        <f>SUM(G34:G35)</f>
        <v>9163.2862921800006</v>
      </c>
      <c r="H36" s="124"/>
    </row>
    <row r="37" spans="1:11" hidden="1" x14ac:dyDescent="0.25">
      <c r="A37" s="141"/>
      <c r="B37" s="142"/>
      <c r="C37" s="142"/>
      <c r="D37" s="337"/>
      <c r="E37" s="143"/>
      <c r="F37" s="144"/>
      <c r="G37" s="168"/>
      <c r="H37" s="169"/>
    </row>
    <row r="38" spans="1:11" ht="14.45" hidden="1" customHeight="1" x14ac:dyDescent="0.25">
      <c r="A38" s="700" t="s">
        <v>170</v>
      </c>
      <c r="B38" s="700"/>
      <c r="C38" s="700"/>
      <c r="D38" s="700"/>
      <c r="E38" s="700"/>
      <c r="F38" s="700"/>
      <c r="G38" s="700"/>
      <c r="H38" s="700"/>
      <c r="I38" s="146"/>
    </row>
    <row r="39" spans="1:11" ht="28.9" hidden="1" customHeight="1" x14ac:dyDescent="0.25">
      <c r="A39" s="649" t="s">
        <v>60</v>
      </c>
      <c r="B39" s="679" t="s">
        <v>155</v>
      </c>
      <c r="C39" s="679"/>
      <c r="D39" s="658" t="s">
        <v>156</v>
      </c>
      <c r="E39" s="660"/>
      <c r="F39" s="316"/>
      <c r="G39" s="38"/>
    </row>
    <row r="40" spans="1:11" ht="14.45" hidden="1" customHeight="1" x14ac:dyDescent="0.25">
      <c r="A40" s="650"/>
      <c r="B40" s="679"/>
      <c r="C40" s="679"/>
      <c r="D40" s="679" t="s">
        <v>157</v>
      </c>
      <c r="E40" s="649" t="s">
        <v>165</v>
      </c>
      <c r="F40" s="649" t="s">
        <v>169</v>
      </c>
      <c r="G40" s="38"/>
    </row>
    <row r="41" spans="1:11" hidden="1" x14ac:dyDescent="0.25">
      <c r="A41" s="651"/>
      <c r="B41" s="679"/>
      <c r="C41" s="679"/>
      <c r="D41" s="679"/>
      <c r="E41" s="651"/>
      <c r="F41" s="651"/>
      <c r="G41" s="38"/>
    </row>
    <row r="42" spans="1:11" hidden="1" x14ac:dyDescent="0.25">
      <c r="A42" s="315">
        <v>1</v>
      </c>
      <c r="B42" s="663">
        <v>2</v>
      </c>
      <c r="C42" s="664"/>
      <c r="D42" s="315">
        <v>3</v>
      </c>
      <c r="E42" s="171">
        <v>6</v>
      </c>
      <c r="F42" s="171">
        <v>7</v>
      </c>
      <c r="G42" s="38"/>
    </row>
    <row r="43" spans="1:11" hidden="1" x14ac:dyDescent="0.25">
      <c r="A43" s="313" t="s">
        <v>161</v>
      </c>
      <c r="B43" s="663">
        <f>5.6*0.367</f>
        <v>2.0551999999999997</v>
      </c>
      <c r="C43" s="664"/>
      <c r="D43" s="145">
        <v>4218.1400000000003</v>
      </c>
      <c r="E43" s="172">
        <f>D43*30.2%</f>
        <v>1273.8782800000001</v>
      </c>
      <c r="F43" s="172">
        <f>(E43+D43)*B43*12+0.64</f>
        <v>135446.991628672</v>
      </c>
      <c r="G43" s="38"/>
    </row>
    <row r="44" spans="1:11" hidden="1" x14ac:dyDescent="0.25">
      <c r="A44" s="311"/>
      <c r="B44" s="678">
        <f>SUM(B43:C43)</f>
        <v>2.0551999999999997</v>
      </c>
      <c r="C44" s="678"/>
      <c r="D44" s="124">
        <f>SUM(D43:D43)</f>
        <v>4218.1400000000003</v>
      </c>
      <c r="E44" s="124">
        <f>SUM(E43:E43)</f>
        <v>1273.8782800000001</v>
      </c>
      <c r="F44" s="124"/>
      <c r="G44" s="38"/>
    </row>
    <row r="45" spans="1:11" x14ac:dyDescent="0.25">
      <c r="A45" s="141"/>
      <c r="B45" s="142"/>
      <c r="C45" s="142"/>
      <c r="D45" s="337"/>
      <c r="E45" s="143"/>
      <c r="F45" s="144"/>
      <c r="G45" s="168"/>
      <c r="H45" s="169"/>
      <c r="J45" s="173">
        <f>I27</f>
        <v>2098984.7102492163</v>
      </c>
    </row>
    <row r="46" spans="1:11" x14ac:dyDescent="0.25">
      <c r="A46" s="141"/>
      <c r="B46" s="142"/>
      <c r="C46" s="142"/>
      <c r="D46" s="337"/>
      <c r="E46" s="143"/>
      <c r="F46" s="144"/>
      <c r="G46" s="168"/>
      <c r="H46" s="169"/>
      <c r="J46" s="39">
        <f>I164</f>
        <v>1043794.7270095361</v>
      </c>
    </row>
    <row r="47" spans="1:11" x14ac:dyDescent="0.25">
      <c r="A47" s="696" t="s">
        <v>59</v>
      </c>
      <c r="B47" s="696"/>
      <c r="C47" s="696"/>
      <c r="D47" s="696"/>
      <c r="E47" s="696"/>
      <c r="F47" s="696"/>
      <c r="J47" s="39">
        <f>J45+J46</f>
        <v>3142779.4372587525</v>
      </c>
      <c r="K47" s="38" t="s">
        <v>104</v>
      </c>
    </row>
    <row r="48" spans="1:11" x14ac:dyDescent="0.25">
      <c r="A48" s="322" t="s">
        <v>81</v>
      </c>
      <c r="B48" s="44" t="s">
        <v>245</v>
      </c>
      <c r="C48" s="44"/>
      <c r="D48" s="44"/>
      <c r="E48" s="45"/>
      <c r="F48" s="45"/>
      <c r="J48" s="39">
        <v>2948801.56</v>
      </c>
      <c r="K48" s="38" t="s">
        <v>105</v>
      </c>
    </row>
    <row r="49" spans="1:10" x14ac:dyDescent="0.25">
      <c r="D49" s="46">
        <f>D19</f>
        <v>0.3664</v>
      </c>
    </row>
    <row r="50" spans="1:10" x14ac:dyDescent="0.25">
      <c r="A50" s="646" t="s">
        <v>27</v>
      </c>
      <c r="B50" s="646"/>
      <c r="C50" s="324"/>
      <c r="D50" s="646" t="s">
        <v>11</v>
      </c>
      <c r="E50" s="697" t="s">
        <v>48</v>
      </c>
      <c r="F50" s="697" t="s">
        <v>15</v>
      </c>
      <c r="G50" s="682" t="s">
        <v>6</v>
      </c>
      <c r="J50" s="39">
        <f>J48-J47</f>
        <v>-193977.87725875247</v>
      </c>
    </row>
    <row r="51" spans="1:10" hidden="1" x14ac:dyDescent="0.25">
      <c r="A51" s="646"/>
      <c r="B51" s="646"/>
      <c r="C51" s="324"/>
      <c r="D51" s="646"/>
      <c r="E51" s="698"/>
      <c r="F51" s="698"/>
      <c r="G51" s="683"/>
    </row>
    <row r="52" spans="1:10" x14ac:dyDescent="0.25">
      <c r="A52" s="638">
        <v>1</v>
      </c>
      <c r="B52" s="639"/>
      <c r="C52" s="319"/>
      <c r="D52" s="324">
        <v>2</v>
      </c>
      <c r="E52" s="57">
        <v>3</v>
      </c>
      <c r="F52" s="324">
        <v>4</v>
      </c>
      <c r="G52" s="59" t="s">
        <v>68</v>
      </c>
    </row>
    <row r="53" spans="1:10" ht="15.75" x14ac:dyDescent="0.25">
      <c r="A53" s="313" t="s">
        <v>188</v>
      </c>
      <c r="B53" s="338"/>
      <c r="C53" s="338"/>
      <c r="D53" s="315" t="s">
        <v>190</v>
      </c>
      <c r="E53" s="222">
        <f>17*D49*5</f>
        <v>31.143999999999998</v>
      </c>
      <c r="F53" s="419">
        <v>450</v>
      </c>
      <c r="G53" s="59">
        <f>E53*F53</f>
        <v>14014.8</v>
      </c>
    </row>
    <row r="54" spans="1:10" ht="15.75" x14ac:dyDescent="0.25">
      <c r="A54" s="313" t="s">
        <v>189</v>
      </c>
      <c r="B54" s="338"/>
      <c r="C54" s="338"/>
      <c r="D54" s="315" t="s">
        <v>39</v>
      </c>
      <c r="E54" s="222">
        <f>17*D49*2</f>
        <v>12.457599999999999</v>
      </c>
      <c r="F54" s="419">
        <v>8200</v>
      </c>
      <c r="G54" s="59">
        <f t="shared" ref="G54" si="1">E54*F54</f>
        <v>102152.31999999999</v>
      </c>
    </row>
    <row r="55" spans="1:10" ht="15.75" x14ac:dyDescent="0.25">
      <c r="A55" s="313" t="s">
        <v>244</v>
      </c>
      <c r="B55" s="338"/>
      <c r="C55" s="338"/>
      <c r="D55" s="315" t="s">
        <v>190</v>
      </c>
      <c r="E55" s="222">
        <f>17*3*D49</f>
        <v>18.686399999999999</v>
      </c>
      <c r="F55" s="419">
        <v>1257.8399999999999</v>
      </c>
      <c r="G55" s="59">
        <f>E55*F55+0.06</f>
        <v>23504.561375999998</v>
      </c>
    </row>
    <row r="56" spans="1:10" x14ac:dyDescent="0.25">
      <c r="A56" s="694" t="s">
        <v>58</v>
      </c>
      <c r="B56" s="695"/>
      <c r="C56" s="323"/>
      <c r="D56" s="60"/>
      <c r="E56" s="392"/>
      <c r="F56" s="392"/>
      <c r="G56" s="268">
        <f>SUM(G53:G55)</f>
        <v>139671.68137599999</v>
      </c>
    </row>
    <row r="57" spans="1:10" x14ac:dyDescent="0.25">
      <c r="A57" s="61"/>
      <c r="B57" s="61"/>
      <c r="C57" s="61"/>
      <c r="D57" s="62"/>
      <c r="E57" s="62"/>
      <c r="F57" s="62"/>
      <c r="G57" s="63"/>
    </row>
    <row r="58" spans="1:10" x14ac:dyDescent="0.25">
      <c r="A58" s="696" t="s">
        <v>82</v>
      </c>
      <c r="B58" s="696"/>
      <c r="C58" s="696"/>
      <c r="D58" s="696"/>
      <c r="E58" s="696"/>
      <c r="F58" s="696"/>
    </row>
    <row r="59" spans="1:10" ht="14.45" customHeight="1" x14ac:dyDescent="0.25">
      <c r="D59" s="46"/>
      <c r="F59" s="38">
        <v>1</v>
      </c>
    </row>
    <row r="60" spans="1:10" x14ac:dyDescent="0.25">
      <c r="A60" s="646" t="s">
        <v>120</v>
      </c>
      <c r="B60" s="646"/>
      <c r="C60" s="324"/>
      <c r="D60" s="646" t="s">
        <v>11</v>
      </c>
      <c r="E60" s="697" t="s">
        <v>48</v>
      </c>
      <c r="F60" s="697" t="s">
        <v>15</v>
      </c>
      <c r="G60" s="682" t="s">
        <v>6</v>
      </c>
    </row>
    <row r="61" spans="1:10" ht="15" hidden="1" customHeight="1" x14ac:dyDescent="0.25">
      <c r="A61" s="646"/>
      <c r="B61" s="646"/>
      <c r="C61" s="324"/>
      <c r="D61" s="646"/>
      <c r="E61" s="698"/>
      <c r="F61" s="698"/>
      <c r="G61" s="683"/>
    </row>
    <row r="62" spans="1:10" x14ac:dyDescent="0.25">
      <c r="A62" s="684">
        <v>1</v>
      </c>
      <c r="B62" s="685"/>
      <c r="C62" s="319"/>
      <c r="D62" s="324">
        <v>2</v>
      </c>
      <c r="E62" s="325">
        <v>3</v>
      </c>
      <c r="F62" s="325">
        <v>4</v>
      </c>
      <c r="G62" s="59" t="s">
        <v>68</v>
      </c>
    </row>
    <row r="63" spans="1:10" ht="18.75" x14ac:dyDescent="0.25">
      <c r="A63" s="506" t="s">
        <v>374</v>
      </c>
      <c r="B63" s="492"/>
      <c r="C63" s="492"/>
      <c r="D63" s="492" t="s">
        <v>84</v>
      </c>
      <c r="E63" s="523">
        <v>10</v>
      </c>
      <c r="F63" s="523">
        <v>850</v>
      </c>
      <c r="G63" s="495">
        <f>E63*F63</f>
        <v>8500</v>
      </c>
    </row>
    <row r="64" spans="1:10" ht="18.75" x14ac:dyDescent="0.25">
      <c r="A64" s="506" t="s">
        <v>375</v>
      </c>
      <c r="B64" s="492"/>
      <c r="C64" s="492"/>
      <c r="D64" s="492" t="s">
        <v>84</v>
      </c>
      <c r="E64" s="523">
        <v>10</v>
      </c>
      <c r="F64" s="523">
        <v>850</v>
      </c>
      <c r="G64" s="499">
        <f t="shared" ref="G64:G127" si="2">E64*F64</f>
        <v>8500</v>
      </c>
    </row>
    <row r="65" spans="1:7" ht="18.75" x14ac:dyDescent="0.25">
      <c r="A65" s="506" t="s">
        <v>376</v>
      </c>
      <c r="B65" s="492"/>
      <c r="C65" s="492"/>
      <c r="D65" s="492" t="s">
        <v>84</v>
      </c>
      <c r="E65" s="523">
        <v>1</v>
      </c>
      <c r="F65" s="523">
        <v>5100</v>
      </c>
      <c r="G65" s="499">
        <f t="shared" si="2"/>
        <v>5100</v>
      </c>
    </row>
    <row r="66" spans="1:7" ht="18.75" x14ac:dyDescent="0.25">
      <c r="A66" s="506" t="s">
        <v>377</v>
      </c>
      <c r="B66" s="492"/>
      <c r="C66" s="492"/>
      <c r="D66" s="492" t="s">
        <v>84</v>
      </c>
      <c r="E66" s="523">
        <v>100</v>
      </c>
      <c r="F66" s="523">
        <v>11</v>
      </c>
      <c r="G66" s="499">
        <f t="shared" si="2"/>
        <v>1100</v>
      </c>
    </row>
    <row r="67" spans="1:7" ht="18.75" x14ac:dyDescent="0.25">
      <c r="A67" s="506" t="s">
        <v>378</v>
      </c>
      <c r="B67" s="492"/>
      <c r="C67" s="492"/>
      <c r="D67" s="492" t="s">
        <v>84</v>
      </c>
      <c r="E67" s="523">
        <v>1</v>
      </c>
      <c r="F67" s="523">
        <v>10500</v>
      </c>
      <c r="G67" s="499">
        <f t="shared" si="2"/>
        <v>10500</v>
      </c>
    </row>
    <row r="68" spans="1:7" ht="18.75" x14ac:dyDescent="0.25">
      <c r="A68" s="506" t="s">
        <v>379</v>
      </c>
      <c r="B68" s="492"/>
      <c r="C68" s="492"/>
      <c r="D68" s="492" t="s">
        <v>84</v>
      </c>
      <c r="E68" s="523">
        <v>20</v>
      </c>
      <c r="F68" s="523">
        <v>330</v>
      </c>
      <c r="G68" s="499">
        <f t="shared" si="2"/>
        <v>6600</v>
      </c>
    </row>
    <row r="69" spans="1:7" ht="18.75" x14ac:dyDescent="0.25">
      <c r="A69" s="521" t="s">
        <v>380</v>
      </c>
      <c r="B69" s="492"/>
      <c r="C69" s="492"/>
      <c r="D69" s="492" t="s">
        <v>84</v>
      </c>
      <c r="E69" s="523">
        <v>1</v>
      </c>
      <c r="F69" s="523">
        <v>4100</v>
      </c>
      <c r="G69" s="499">
        <f t="shared" si="2"/>
        <v>4100</v>
      </c>
    </row>
    <row r="70" spans="1:7" ht="18.75" x14ac:dyDescent="0.25">
      <c r="A70" s="541" t="s">
        <v>381</v>
      </c>
      <c r="B70" s="492"/>
      <c r="C70" s="492"/>
      <c r="D70" s="492" t="s">
        <v>84</v>
      </c>
      <c r="E70" s="523">
        <v>1</v>
      </c>
      <c r="F70" s="523">
        <v>2200</v>
      </c>
      <c r="G70" s="499">
        <f t="shared" si="2"/>
        <v>2200</v>
      </c>
    </row>
    <row r="71" spans="1:7" ht="18.75" x14ac:dyDescent="0.25">
      <c r="A71" s="502" t="s">
        <v>382</v>
      </c>
      <c r="B71" s="492"/>
      <c r="C71" s="492"/>
      <c r="D71" s="492" t="s">
        <v>84</v>
      </c>
      <c r="E71" s="554">
        <v>30</v>
      </c>
      <c r="F71" s="554">
        <v>800</v>
      </c>
      <c r="G71" s="499">
        <f t="shared" si="2"/>
        <v>24000</v>
      </c>
    </row>
    <row r="72" spans="1:7" ht="18.75" x14ac:dyDescent="0.25">
      <c r="A72" s="502" t="s">
        <v>383</v>
      </c>
      <c r="B72" s="492"/>
      <c r="C72" s="492"/>
      <c r="D72" s="492" t="s">
        <v>84</v>
      </c>
      <c r="E72" s="554">
        <v>2</v>
      </c>
      <c r="F72" s="554">
        <v>4000</v>
      </c>
      <c r="G72" s="499">
        <f t="shared" si="2"/>
        <v>8000</v>
      </c>
    </row>
    <row r="73" spans="1:7" ht="18.75" x14ac:dyDescent="0.25">
      <c r="A73" s="502" t="s">
        <v>384</v>
      </c>
      <c r="B73" s="492"/>
      <c r="C73" s="492"/>
      <c r="D73" s="492" t="s">
        <v>84</v>
      </c>
      <c r="E73" s="554">
        <v>10</v>
      </c>
      <c r="F73" s="554">
        <v>190</v>
      </c>
      <c r="G73" s="499">
        <f t="shared" si="2"/>
        <v>1900</v>
      </c>
    </row>
    <row r="74" spans="1:7" ht="18.75" x14ac:dyDescent="0.25">
      <c r="A74" s="542" t="s">
        <v>385</v>
      </c>
      <c r="B74" s="492"/>
      <c r="C74" s="492"/>
      <c r="D74" s="492" t="s">
        <v>84</v>
      </c>
      <c r="E74" s="554">
        <v>4000</v>
      </c>
      <c r="F74" s="554">
        <v>0.65</v>
      </c>
      <c r="G74" s="499">
        <f t="shared" si="2"/>
        <v>2600</v>
      </c>
    </row>
    <row r="75" spans="1:7" ht="18.75" x14ac:dyDescent="0.25">
      <c r="A75" s="542" t="s">
        <v>386</v>
      </c>
      <c r="B75" s="492"/>
      <c r="C75" s="492"/>
      <c r="D75" s="492" t="s">
        <v>84</v>
      </c>
      <c r="E75" s="554">
        <v>1000</v>
      </c>
      <c r="F75" s="554">
        <v>5.5</v>
      </c>
      <c r="G75" s="499">
        <f t="shared" si="2"/>
        <v>5500</v>
      </c>
    </row>
    <row r="76" spans="1:7" ht="18.75" x14ac:dyDescent="0.25">
      <c r="A76" s="542" t="s">
        <v>387</v>
      </c>
      <c r="B76" s="492"/>
      <c r="C76" s="492"/>
      <c r="D76" s="492" t="s">
        <v>84</v>
      </c>
      <c r="E76" s="554">
        <v>1000</v>
      </c>
      <c r="F76" s="554">
        <v>5.5</v>
      </c>
      <c r="G76" s="499">
        <f t="shared" si="2"/>
        <v>5500</v>
      </c>
    </row>
    <row r="77" spans="1:7" ht="37.5" x14ac:dyDescent="0.25">
      <c r="A77" s="543" t="s">
        <v>316</v>
      </c>
      <c r="B77" s="492"/>
      <c r="C77" s="492"/>
      <c r="D77" s="492" t="s">
        <v>84</v>
      </c>
      <c r="E77" s="555">
        <v>1</v>
      </c>
      <c r="F77" s="563">
        <v>23353</v>
      </c>
      <c r="G77" s="499">
        <f t="shared" si="2"/>
        <v>23353</v>
      </c>
    </row>
    <row r="78" spans="1:7" ht="18.75" x14ac:dyDescent="0.25">
      <c r="A78" s="544" t="s">
        <v>438</v>
      </c>
      <c r="B78" s="492"/>
      <c r="C78" s="492"/>
      <c r="D78" s="492" t="s">
        <v>84</v>
      </c>
      <c r="E78" s="555">
        <v>60</v>
      </c>
      <c r="F78" s="563">
        <v>492.75</v>
      </c>
      <c r="G78" s="499">
        <f t="shared" si="2"/>
        <v>29565</v>
      </c>
    </row>
    <row r="79" spans="1:7" ht="18.75" x14ac:dyDescent="0.25">
      <c r="A79" s="503" t="s">
        <v>439</v>
      </c>
      <c r="B79" s="492"/>
      <c r="C79" s="492"/>
      <c r="D79" s="492" t="s">
        <v>84</v>
      </c>
      <c r="E79" s="556">
        <v>2</v>
      </c>
      <c r="F79" s="571">
        <v>2700</v>
      </c>
      <c r="G79" s="499">
        <f t="shared" si="2"/>
        <v>5400</v>
      </c>
    </row>
    <row r="80" spans="1:7" ht="18.75" x14ac:dyDescent="0.25">
      <c r="A80" s="503" t="s">
        <v>440</v>
      </c>
      <c r="B80" s="492"/>
      <c r="C80" s="492"/>
      <c r="D80" s="492" t="s">
        <v>84</v>
      </c>
      <c r="E80" s="556">
        <v>8</v>
      </c>
      <c r="F80" s="571">
        <v>250</v>
      </c>
      <c r="G80" s="499">
        <f t="shared" si="2"/>
        <v>2000</v>
      </c>
    </row>
    <row r="81" spans="1:7" ht="18.75" x14ac:dyDescent="0.25">
      <c r="A81" s="545" t="s">
        <v>441</v>
      </c>
      <c r="B81" s="492"/>
      <c r="C81" s="492"/>
      <c r="D81" s="492" t="s">
        <v>84</v>
      </c>
      <c r="E81" s="557"/>
      <c r="F81" s="572"/>
      <c r="G81" s="499">
        <f t="shared" si="2"/>
        <v>0</v>
      </c>
    </row>
    <row r="82" spans="1:7" ht="18.75" x14ac:dyDescent="0.25">
      <c r="A82" s="503" t="s">
        <v>442</v>
      </c>
      <c r="B82" s="492"/>
      <c r="C82" s="492"/>
      <c r="D82" s="492" t="s">
        <v>84</v>
      </c>
      <c r="E82" s="556">
        <v>30</v>
      </c>
      <c r="F82" s="571">
        <v>600</v>
      </c>
      <c r="G82" s="499">
        <f t="shared" si="2"/>
        <v>18000</v>
      </c>
    </row>
    <row r="83" spans="1:7" ht="18.75" x14ac:dyDescent="0.25">
      <c r="A83" s="545" t="s">
        <v>443</v>
      </c>
      <c r="B83" s="492"/>
      <c r="C83" s="492"/>
      <c r="D83" s="492" t="s">
        <v>84</v>
      </c>
      <c r="E83" s="557"/>
      <c r="F83" s="572"/>
      <c r="G83" s="499">
        <f t="shared" si="2"/>
        <v>0</v>
      </c>
    </row>
    <row r="84" spans="1:7" ht="18.75" x14ac:dyDescent="0.25">
      <c r="A84" s="503" t="s">
        <v>444</v>
      </c>
      <c r="B84" s="492"/>
      <c r="C84" s="492"/>
      <c r="D84" s="492" t="s">
        <v>84</v>
      </c>
      <c r="E84" s="556">
        <v>11</v>
      </c>
      <c r="F84" s="571">
        <v>1100</v>
      </c>
      <c r="G84" s="499">
        <f t="shared" si="2"/>
        <v>12100</v>
      </c>
    </row>
    <row r="85" spans="1:7" ht="18.75" x14ac:dyDescent="0.25">
      <c r="A85" s="503" t="s">
        <v>445</v>
      </c>
      <c r="B85" s="492"/>
      <c r="C85" s="492"/>
      <c r="D85" s="492" t="s">
        <v>84</v>
      </c>
      <c r="E85" s="556">
        <v>1</v>
      </c>
      <c r="F85" s="571">
        <v>4200</v>
      </c>
      <c r="G85" s="499">
        <f t="shared" si="2"/>
        <v>4200</v>
      </c>
    </row>
    <row r="86" spans="1:7" ht="18.75" x14ac:dyDescent="0.25">
      <c r="A86" s="503" t="s">
        <v>446</v>
      </c>
      <c r="B86" s="492"/>
      <c r="C86" s="492"/>
      <c r="D86" s="492" t="s">
        <v>84</v>
      </c>
      <c r="E86" s="556">
        <v>10</v>
      </c>
      <c r="F86" s="571">
        <v>1000</v>
      </c>
      <c r="G86" s="499">
        <f t="shared" si="2"/>
        <v>10000</v>
      </c>
    </row>
    <row r="87" spans="1:7" ht="18.75" x14ac:dyDescent="0.25">
      <c r="A87" s="503" t="s">
        <v>447</v>
      </c>
      <c r="B87" s="492"/>
      <c r="C87" s="492"/>
      <c r="D87" s="498" t="s">
        <v>84</v>
      </c>
      <c r="E87" s="556">
        <v>30</v>
      </c>
      <c r="F87" s="571">
        <v>500</v>
      </c>
      <c r="G87" s="499">
        <f t="shared" si="2"/>
        <v>15000</v>
      </c>
    </row>
    <row r="88" spans="1:7" ht="18.75" x14ac:dyDescent="0.25">
      <c r="A88" s="546" t="s">
        <v>448</v>
      </c>
      <c r="B88" s="492"/>
      <c r="C88" s="492"/>
      <c r="D88" s="498" t="s">
        <v>84</v>
      </c>
      <c r="E88" s="558"/>
      <c r="F88" s="565"/>
      <c r="G88" s="499">
        <f t="shared" si="2"/>
        <v>0</v>
      </c>
    </row>
    <row r="89" spans="1:7" ht="18.75" x14ac:dyDescent="0.25">
      <c r="A89" s="508" t="s">
        <v>449</v>
      </c>
      <c r="B89" s="492"/>
      <c r="C89" s="492"/>
      <c r="D89" s="498" t="s">
        <v>84</v>
      </c>
      <c r="E89" s="526">
        <v>32</v>
      </c>
      <c r="F89" s="527">
        <v>230</v>
      </c>
      <c r="G89" s="499">
        <f t="shared" si="2"/>
        <v>7360</v>
      </c>
    </row>
    <row r="90" spans="1:7" ht="18.75" x14ac:dyDescent="0.25">
      <c r="A90" s="508" t="s">
        <v>450</v>
      </c>
      <c r="B90" s="492"/>
      <c r="C90" s="492"/>
      <c r="D90" s="498" t="s">
        <v>84</v>
      </c>
      <c r="E90" s="526">
        <v>17</v>
      </c>
      <c r="F90" s="527">
        <v>300</v>
      </c>
      <c r="G90" s="499">
        <f t="shared" si="2"/>
        <v>5100</v>
      </c>
    </row>
    <row r="91" spans="1:7" ht="18.75" x14ac:dyDescent="0.25">
      <c r="A91" s="508" t="s">
        <v>451</v>
      </c>
      <c r="B91" s="498"/>
      <c r="C91" s="498"/>
      <c r="D91" s="498" t="s">
        <v>84</v>
      </c>
      <c r="E91" s="526">
        <v>2</v>
      </c>
      <c r="F91" s="527">
        <v>990</v>
      </c>
      <c r="G91" s="499">
        <f t="shared" si="2"/>
        <v>1980</v>
      </c>
    </row>
    <row r="92" spans="1:7" ht="18.75" x14ac:dyDescent="0.25">
      <c r="A92" s="508" t="s">
        <v>452</v>
      </c>
      <c r="B92" s="498"/>
      <c r="C92" s="498"/>
      <c r="D92" s="498" t="s">
        <v>84</v>
      </c>
      <c r="E92" s="526">
        <v>2</v>
      </c>
      <c r="F92" s="527">
        <v>970</v>
      </c>
      <c r="G92" s="499">
        <f t="shared" si="2"/>
        <v>1940</v>
      </c>
    </row>
    <row r="93" spans="1:7" ht="18.75" x14ac:dyDescent="0.25">
      <c r="A93" s="508" t="s">
        <v>453</v>
      </c>
      <c r="B93" s="498"/>
      <c r="C93" s="498"/>
      <c r="D93" s="498" t="s">
        <v>84</v>
      </c>
      <c r="E93" s="526">
        <v>2</v>
      </c>
      <c r="F93" s="527">
        <v>1650</v>
      </c>
      <c r="G93" s="499">
        <f t="shared" si="2"/>
        <v>3300</v>
      </c>
    </row>
    <row r="94" spans="1:7" ht="18.75" x14ac:dyDescent="0.25">
      <c r="A94" s="508" t="s">
        <v>454</v>
      </c>
      <c r="B94" s="498"/>
      <c r="C94" s="498"/>
      <c r="D94" s="498" t="s">
        <v>84</v>
      </c>
      <c r="E94" s="526">
        <v>2</v>
      </c>
      <c r="F94" s="527">
        <v>650</v>
      </c>
      <c r="G94" s="499">
        <f t="shared" si="2"/>
        <v>1300</v>
      </c>
    </row>
    <row r="95" spans="1:7" ht="18.75" x14ac:dyDescent="0.25">
      <c r="A95" s="508" t="s">
        <v>455</v>
      </c>
      <c r="B95" s="498"/>
      <c r="C95" s="498"/>
      <c r="D95" s="498" t="s">
        <v>84</v>
      </c>
      <c r="E95" s="526">
        <v>2</v>
      </c>
      <c r="F95" s="527">
        <v>1750</v>
      </c>
      <c r="G95" s="499">
        <f t="shared" si="2"/>
        <v>3500</v>
      </c>
    </row>
    <row r="96" spans="1:7" ht="18.75" x14ac:dyDescent="0.25">
      <c r="A96" s="547" t="s">
        <v>456</v>
      </c>
      <c r="B96" s="498"/>
      <c r="C96" s="498"/>
      <c r="D96" s="498" t="s">
        <v>84</v>
      </c>
      <c r="E96" s="559">
        <v>3</v>
      </c>
      <c r="F96" s="566">
        <v>4490</v>
      </c>
      <c r="G96" s="499">
        <f t="shared" si="2"/>
        <v>13470</v>
      </c>
    </row>
    <row r="97" spans="1:7" ht="18.75" x14ac:dyDescent="0.25">
      <c r="A97" s="548" t="s">
        <v>388</v>
      </c>
      <c r="B97" s="498"/>
      <c r="C97" s="498"/>
      <c r="D97" s="498" t="s">
        <v>84</v>
      </c>
      <c r="E97" s="560"/>
      <c r="F97" s="567"/>
      <c r="G97" s="499">
        <f t="shared" si="2"/>
        <v>0</v>
      </c>
    </row>
    <row r="98" spans="1:7" ht="18.75" x14ac:dyDescent="0.25">
      <c r="A98" s="549" t="s">
        <v>389</v>
      </c>
      <c r="B98" s="498"/>
      <c r="C98" s="498"/>
      <c r="D98" s="498" t="s">
        <v>84</v>
      </c>
      <c r="E98" s="524">
        <v>15</v>
      </c>
      <c r="F98" s="527">
        <v>800</v>
      </c>
      <c r="G98" s="499">
        <f t="shared" si="2"/>
        <v>12000</v>
      </c>
    </row>
    <row r="99" spans="1:7" ht="18.75" x14ac:dyDescent="0.25">
      <c r="A99" s="549" t="s">
        <v>390</v>
      </c>
      <c r="B99" s="498"/>
      <c r="C99" s="498"/>
      <c r="D99" s="498" t="s">
        <v>84</v>
      </c>
      <c r="E99" s="524">
        <v>15</v>
      </c>
      <c r="F99" s="527">
        <v>800</v>
      </c>
      <c r="G99" s="499">
        <f t="shared" si="2"/>
        <v>12000</v>
      </c>
    </row>
    <row r="100" spans="1:7" ht="19.5" thickBot="1" x14ac:dyDescent="0.3">
      <c r="A100" s="550" t="s">
        <v>391</v>
      </c>
      <c r="B100" s="498"/>
      <c r="C100" s="498"/>
      <c r="D100" s="498" t="s">
        <v>84</v>
      </c>
      <c r="E100" s="561">
        <v>30</v>
      </c>
      <c r="F100" s="568">
        <v>450</v>
      </c>
      <c r="G100" s="499">
        <f t="shared" si="2"/>
        <v>13500</v>
      </c>
    </row>
    <row r="101" spans="1:7" ht="18.75" x14ac:dyDescent="0.25">
      <c r="A101" s="548" t="s">
        <v>392</v>
      </c>
      <c r="B101" s="498"/>
      <c r="C101" s="498"/>
      <c r="D101" s="498" t="s">
        <v>84</v>
      </c>
      <c r="E101" s="560"/>
      <c r="F101" s="569"/>
      <c r="G101" s="499">
        <f t="shared" si="2"/>
        <v>0</v>
      </c>
    </row>
    <row r="102" spans="1:7" ht="31.5" x14ac:dyDescent="0.25">
      <c r="A102" s="551" t="s">
        <v>393</v>
      </c>
      <c r="B102" s="498"/>
      <c r="C102" s="498"/>
      <c r="D102" s="498" t="s">
        <v>84</v>
      </c>
      <c r="E102" s="525">
        <v>4</v>
      </c>
      <c r="F102" s="525">
        <v>449</v>
      </c>
      <c r="G102" s="499">
        <f t="shared" si="2"/>
        <v>1796</v>
      </c>
    </row>
    <row r="103" spans="1:7" ht="15.75" x14ac:dyDescent="0.25">
      <c r="A103" s="551" t="s">
        <v>394</v>
      </c>
      <c r="B103" s="498"/>
      <c r="C103" s="498"/>
      <c r="D103" s="498" t="s">
        <v>84</v>
      </c>
      <c r="E103" s="525">
        <v>5</v>
      </c>
      <c r="F103" s="525">
        <v>180</v>
      </c>
      <c r="G103" s="499">
        <f t="shared" si="2"/>
        <v>900</v>
      </c>
    </row>
    <row r="104" spans="1:7" ht="15.75" x14ac:dyDescent="0.25">
      <c r="A104" s="551" t="s">
        <v>395</v>
      </c>
      <c r="B104" s="498"/>
      <c r="C104" s="498"/>
      <c r="D104" s="498" t="s">
        <v>84</v>
      </c>
      <c r="E104" s="525">
        <v>20</v>
      </c>
      <c r="F104" s="525">
        <v>40</v>
      </c>
      <c r="G104" s="499">
        <f t="shared" si="2"/>
        <v>800</v>
      </c>
    </row>
    <row r="105" spans="1:7" ht="15.75" x14ac:dyDescent="0.25">
      <c r="A105" s="551" t="s">
        <v>396</v>
      </c>
      <c r="B105" s="498"/>
      <c r="C105" s="498"/>
      <c r="D105" s="498" t="s">
        <v>84</v>
      </c>
      <c r="E105" s="525">
        <v>10</v>
      </c>
      <c r="F105" s="525">
        <v>300</v>
      </c>
      <c r="G105" s="499">
        <f t="shared" si="2"/>
        <v>3000</v>
      </c>
    </row>
    <row r="106" spans="1:7" ht="15.75" x14ac:dyDescent="0.25">
      <c r="A106" s="551" t="s">
        <v>397</v>
      </c>
      <c r="B106" s="498"/>
      <c r="C106" s="498"/>
      <c r="D106" s="498" t="s">
        <v>84</v>
      </c>
      <c r="E106" s="525">
        <v>20</v>
      </c>
      <c r="F106" s="525">
        <v>74</v>
      </c>
      <c r="G106" s="499">
        <f t="shared" si="2"/>
        <v>1480</v>
      </c>
    </row>
    <row r="107" spans="1:7" ht="31.5" x14ac:dyDescent="0.25">
      <c r="A107" s="551" t="s">
        <v>398</v>
      </c>
      <c r="B107" s="498"/>
      <c r="C107" s="498"/>
      <c r="D107" s="498" t="s">
        <v>84</v>
      </c>
      <c r="E107" s="525">
        <v>1</v>
      </c>
      <c r="F107" s="525">
        <v>722</v>
      </c>
      <c r="G107" s="499">
        <f t="shared" si="2"/>
        <v>722</v>
      </c>
    </row>
    <row r="108" spans="1:7" ht="31.5" x14ac:dyDescent="0.25">
      <c r="A108" s="551" t="s">
        <v>399</v>
      </c>
      <c r="B108" s="498"/>
      <c r="C108" s="498"/>
      <c r="D108" s="498" t="s">
        <v>84</v>
      </c>
      <c r="E108" s="525">
        <v>2</v>
      </c>
      <c r="F108" s="525">
        <v>752</v>
      </c>
      <c r="G108" s="499">
        <f t="shared" si="2"/>
        <v>1504</v>
      </c>
    </row>
    <row r="109" spans="1:7" ht="31.5" x14ac:dyDescent="0.25">
      <c r="A109" s="551" t="s">
        <v>400</v>
      </c>
      <c r="B109" s="498"/>
      <c r="C109" s="498"/>
      <c r="D109" s="498" t="s">
        <v>84</v>
      </c>
      <c r="E109" s="525">
        <v>5</v>
      </c>
      <c r="F109" s="525">
        <v>800</v>
      </c>
      <c r="G109" s="499">
        <f t="shared" si="2"/>
        <v>4000</v>
      </c>
    </row>
    <row r="110" spans="1:7" ht="15.75" x14ac:dyDescent="0.25">
      <c r="A110" s="551" t="s">
        <v>401</v>
      </c>
      <c r="B110" s="498"/>
      <c r="C110" s="498"/>
      <c r="D110" s="498" t="s">
        <v>84</v>
      </c>
      <c r="E110" s="525">
        <v>1</v>
      </c>
      <c r="F110" s="525">
        <v>900</v>
      </c>
      <c r="G110" s="499">
        <f t="shared" si="2"/>
        <v>900</v>
      </c>
    </row>
    <row r="111" spans="1:7" ht="31.5" x14ac:dyDescent="0.25">
      <c r="A111" s="551" t="s">
        <v>402</v>
      </c>
      <c r="B111" s="498"/>
      <c r="C111" s="498"/>
      <c r="D111" s="498" t="s">
        <v>84</v>
      </c>
      <c r="E111" s="525">
        <v>5</v>
      </c>
      <c r="F111" s="525">
        <v>119</v>
      </c>
      <c r="G111" s="499">
        <f t="shared" si="2"/>
        <v>595</v>
      </c>
    </row>
    <row r="112" spans="1:7" ht="15.75" x14ac:dyDescent="0.25">
      <c r="A112" s="551" t="s">
        <v>403</v>
      </c>
      <c r="B112" s="498"/>
      <c r="C112" s="498"/>
      <c r="D112" s="498" t="s">
        <v>84</v>
      </c>
      <c r="E112" s="525">
        <v>5</v>
      </c>
      <c r="F112" s="525">
        <v>180</v>
      </c>
      <c r="G112" s="499">
        <f t="shared" si="2"/>
        <v>900</v>
      </c>
    </row>
    <row r="113" spans="1:7" ht="15.75" x14ac:dyDescent="0.25">
      <c r="A113" s="551" t="s">
        <v>404</v>
      </c>
      <c r="B113" s="498"/>
      <c r="C113" s="498"/>
      <c r="D113" s="498" t="s">
        <v>84</v>
      </c>
      <c r="E113" s="525">
        <v>5</v>
      </c>
      <c r="F113" s="525">
        <v>180</v>
      </c>
      <c r="G113" s="499">
        <f t="shared" si="2"/>
        <v>900</v>
      </c>
    </row>
    <row r="114" spans="1:7" ht="15.75" x14ac:dyDescent="0.25">
      <c r="A114" s="551" t="s">
        <v>405</v>
      </c>
      <c r="B114" s="498"/>
      <c r="C114" s="498"/>
      <c r="D114" s="498" t="s">
        <v>84</v>
      </c>
      <c r="E114" s="525">
        <v>4</v>
      </c>
      <c r="F114" s="525">
        <v>237</v>
      </c>
      <c r="G114" s="499">
        <f t="shared" si="2"/>
        <v>948</v>
      </c>
    </row>
    <row r="115" spans="1:7" ht="15.75" x14ac:dyDescent="0.25">
      <c r="A115" s="551" t="s">
        <v>406</v>
      </c>
      <c r="B115" s="492"/>
      <c r="C115" s="492"/>
      <c r="D115" s="498" t="s">
        <v>84</v>
      </c>
      <c r="E115" s="525">
        <v>1</v>
      </c>
      <c r="F115" s="525">
        <v>1264</v>
      </c>
      <c r="G115" s="499">
        <f t="shared" si="2"/>
        <v>1264</v>
      </c>
    </row>
    <row r="116" spans="1:7" ht="15.75" x14ac:dyDescent="0.25">
      <c r="A116" s="551" t="s">
        <v>407</v>
      </c>
      <c r="B116" s="492"/>
      <c r="C116" s="492"/>
      <c r="D116" s="498" t="s">
        <v>84</v>
      </c>
      <c r="E116" s="525">
        <v>20</v>
      </c>
      <c r="F116" s="525">
        <v>68</v>
      </c>
      <c r="G116" s="499">
        <f t="shared" si="2"/>
        <v>1360</v>
      </c>
    </row>
    <row r="117" spans="1:7" ht="31.5" x14ac:dyDescent="0.25">
      <c r="A117" s="551" t="s">
        <v>408</v>
      </c>
      <c r="B117" s="492"/>
      <c r="C117" s="492"/>
      <c r="D117" s="498" t="s">
        <v>84</v>
      </c>
      <c r="E117" s="525">
        <v>1</v>
      </c>
      <c r="F117" s="525">
        <v>230</v>
      </c>
      <c r="G117" s="499">
        <f t="shared" si="2"/>
        <v>230</v>
      </c>
    </row>
    <row r="118" spans="1:7" ht="31.5" x14ac:dyDescent="0.25">
      <c r="A118" s="551" t="s">
        <v>409</v>
      </c>
      <c r="B118" s="492"/>
      <c r="C118" s="492"/>
      <c r="D118" s="498" t="s">
        <v>84</v>
      </c>
      <c r="E118" s="525">
        <v>4</v>
      </c>
      <c r="F118" s="525">
        <v>118</v>
      </c>
      <c r="G118" s="499">
        <f t="shared" si="2"/>
        <v>472</v>
      </c>
    </row>
    <row r="119" spans="1:7" ht="15.75" x14ac:dyDescent="0.25">
      <c r="A119" s="551" t="s">
        <v>410</v>
      </c>
      <c r="B119" s="492"/>
      <c r="C119" s="492"/>
      <c r="D119" s="498" t="s">
        <v>84</v>
      </c>
      <c r="E119" s="525">
        <v>1</v>
      </c>
      <c r="F119" s="525">
        <v>2230</v>
      </c>
      <c r="G119" s="499">
        <f t="shared" si="2"/>
        <v>2230</v>
      </c>
    </row>
    <row r="120" spans="1:7" ht="15.75" x14ac:dyDescent="0.25">
      <c r="A120" s="551" t="s">
        <v>411</v>
      </c>
      <c r="B120" s="492"/>
      <c r="C120" s="492"/>
      <c r="D120" s="498" t="s">
        <v>84</v>
      </c>
      <c r="E120" s="525">
        <v>10</v>
      </c>
      <c r="F120" s="525">
        <v>59</v>
      </c>
      <c r="G120" s="499">
        <f t="shared" si="2"/>
        <v>590</v>
      </c>
    </row>
    <row r="121" spans="1:7" ht="31.5" x14ac:dyDescent="0.25">
      <c r="A121" s="551" t="s">
        <v>412</v>
      </c>
      <c r="B121" s="492"/>
      <c r="C121" s="492"/>
      <c r="D121" s="498" t="s">
        <v>84</v>
      </c>
      <c r="E121" s="525">
        <v>10</v>
      </c>
      <c r="F121" s="525">
        <v>180</v>
      </c>
      <c r="G121" s="499">
        <f t="shared" si="2"/>
        <v>1800</v>
      </c>
    </row>
    <row r="122" spans="1:7" ht="15.75" x14ac:dyDescent="0.25">
      <c r="A122" s="551" t="s">
        <v>413</v>
      </c>
      <c r="B122" s="492"/>
      <c r="C122" s="492"/>
      <c r="D122" s="498" t="s">
        <v>84</v>
      </c>
      <c r="E122" s="525">
        <v>5</v>
      </c>
      <c r="F122" s="525">
        <v>240</v>
      </c>
      <c r="G122" s="499">
        <f t="shared" si="2"/>
        <v>1200</v>
      </c>
    </row>
    <row r="123" spans="1:7" ht="15.75" x14ac:dyDescent="0.25">
      <c r="A123" s="551" t="s">
        <v>414</v>
      </c>
      <c r="B123" s="492"/>
      <c r="C123" s="492"/>
      <c r="D123" s="498" t="s">
        <v>84</v>
      </c>
      <c r="E123" s="525">
        <v>8</v>
      </c>
      <c r="F123" s="525">
        <v>124</v>
      </c>
      <c r="G123" s="499">
        <f t="shared" si="2"/>
        <v>992</v>
      </c>
    </row>
    <row r="124" spans="1:7" ht="15.75" x14ac:dyDescent="0.25">
      <c r="A124" s="551" t="s">
        <v>415</v>
      </c>
      <c r="B124" s="492"/>
      <c r="C124" s="492"/>
      <c r="D124" s="498" t="s">
        <v>84</v>
      </c>
      <c r="E124" s="525">
        <v>2</v>
      </c>
      <c r="F124" s="525">
        <v>669</v>
      </c>
      <c r="G124" s="499">
        <f t="shared" si="2"/>
        <v>1338</v>
      </c>
    </row>
    <row r="125" spans="1:7" ht="15.75" x14ac:dyDescent="0.25">
      <c r="A125" s="551" t="s">
        <v>416</v>
      </c>
      <c r="B125" s="492"/>
      <c r="C125" s="492"/>
      <c r="D125" s="498" t="s">
        <v>84</v>
      </c>
      <c r="E125" s="525">
        <v>1</v>
      </c>
      <c r="F125" s="525">
        <v>117</v>
      </c>
      <c r="G125" s="499">
        <f t="shared" si="2"/>
        <v>117</v>
      </c>
    </row>
    <row r="126" spans="1:7" ht="31.5" x14ac:dyDescent="0.25">
      <c r="A126" s="528" t="s">
        <v>417</v>
      </c>
      <c r="B126" s="498"/>
      <c r="C126" s="498"/>
      <c r="D126" s="498" t="s">
        <v>84</v>
      </c>
      <c r="E126" s="525">
        <v>1</v>
      </c>
      <c r="F126" s="525">
        <v>178</v>
      </c>
      <c r="G126" s="499">
        <f t="shared" si="2"/>
        <v>178</v>
      </c>
    </row>
    <row r="127" spans="1:7" ht="31.5" x14ac:dyDescent="0.25">
      <c r="A127" s="528" t="s">
        <v>418</v>
      </c>
      <c r="B127" s="498"/>
      <c r="C127" s="498"/>
      <c r="D127" s="498" t="s">
        <v>84</v>
      </c>
      <c r="E127" s="525">
        <v>2</v>
      </c>
      <c r="F127" s="525">
        <v>1083</v>
      </c>
      <c r="G127" s="499">
        <f t="shared" si="2"/>
        <v>2166</v>
      </c>
    </row>
    <row r="128" spans="1:7" ht="15.75" x14ac:dyDescent="0.25">
      <c r="A128" s="528" t="s">
        <v>419</v>
      </c>
      <c r="B128" s="498"/>
      <c r="C128" s="498"/>
      <c r="D128" s="498" t="s">
        <v>84</v>
      </c>
      <c r="E128" s="525">
        <v>2</v>
      </c>
      <c r="F128" s="525">
        <v>330</v>
      </c>
      <c r="G128" s="499">
        <f t="shared" ref="G128:G143" si="3">E128*F128</f>
        <v>660</v>
      </c>
    </row>
    <row r="129" spans="1:7" ht="15.75" x14ac:dyDescent="0.25">
      <c r="A129" s="502" t="s">
        <v>420</v>
      </c>
      <c r="B129" s="498"/>
      <c r="C129" s="498"/>
      <c r="D129" s="498" t="s">
        <v>84</v>
      </c>
      <c r="E129" s="525">
        <v>2</v>
      </c>
      <c r="F129" s="525">
        <v>1400</v>
      </c>
      <c r="G129" s="499">
        <f t="shared" si="3"/>
        <v>2800</v>
      </c>
    </row>
    <row r="130" spans="1:7" ht="15.75" x14ac:dyDescent="0.25">
      <c r="A130" s="502" t="s">
        <v>421</v>
      </c>
      <c r="B130" s="498"/>
      <c r="C130" s="498"/>
      <c r="D130" s="498" t="s">
        <v>84</v>
      </c>
      <c r="E130" s="525">
        <v>10</v>
      </c>
      <c r="F130" s="525">
        <v>550</v>
      </c>
      <c r="G130" s="499">
        <f t="shared" si="3"/>
        <v>5500</v>
      </c>
    </row>
    <row r="131" spans="1:7" ht="15.75" x14ac:dyDescent="0.25">
      <c r="A131" s="502" t="s">
        <v>422</v>
      </c>
      <c r="B131" s="498"/>
      <c r="C131" s="498"/>
      <c r="D131" s="498" t="s">
        <v>84</v>
      </c>
      <c r="E131" s="525">
        <v>5</v>
      </c>
      <c r="F131" s="525">
        <v>1000</v>
      </c>
      <c r="G131" s="499">
        <f t="shared" si="3"/>
        <v>5000</v>
      </c>
    </row>
    <row r="132" spans="1:7" ht="15.75" x14ac:dyDescent="0.25">
      <c r="A132" s="502" t="s">
        <v>423</v>
      </c>
      <c r="B132" s="498"/>
      <c r="C132" s="498"/>
      <c r="D132" s="498" t="s">
        <v>84</v>
      </c>
      <c r="E132" s="525">
        <v>10</v>
      </c>
      <c r="F132" s="525">
        <v>550</v>
      </c>
      <c r="G132" s="499">
        <f t="shared" si="3"/>
        <v>5500</v>
      </c>
    </row>
    <row r="133" spans="1:7" ht="15.75" x14ac:dyDescent="0.25">
      <c r="A133" s="502" t="s">
        <v>424</v>
      </c>
      <c r="B133" s="498"/>
      <c r="C133" s="498"/>
      <c r="D133" s="498" t="s">
        <v>84</v>
      </c>
      <c r="E133" s="525">
        <v>5</v>
      </c>
      <c r="F133" s="525">
        <v>1000</v>
      </c>
      <c r="G133" s="499">
        <f t="shared" si="3"/>
        <v>5000</v>
      </c>
    </row>
    <row r="134" spans="1:7" ht="31.5" x14ac:dyDescent="0.25">
      <c r="A134" s="552" t="s">
        <v>425</v>
      </c>
      <c r="B134" s="492"/>
      <c r="C134" s="492"/>
      <c r="D134" s="498" t="s">
        <v>84</v>
      </c>
      <c r="E134" s="562">
        <v>10</v>
      </c>
      <c r="F134" s="562">
        <v>430</v>
      </c>
      <c r="G134" s="499">
        <f t="shared" si="3"/>
        <v>4300</v>
      </c>
    </row>
    <row r="135" spans="1:7" ht="15.75" x14ac:dyDescent="0.25">
      <c r="A135" s="502" t="s">
        <v>426</v>
      </c>
      <c r="B135" s="492"/>
      <c r="C135" s="492"/>
      <c r="D135" s="498" t="s">
        <v>84</v>
      </c>
      <c r="E135" s="504">
        <v>10</v>
      </c>
      <c r="F135" s="504">
        <v>200</v>
      </c>
      <c r="G135" s="499">
        <f t="shared" si="3"/>
        <v>2000</v>
      </c>
    </row>
    <row r="136" spans="1:7" ht="15.75" x14ac:dyDescent="0.25">
      <c r="A136" s="502" t="s">
        <v>427</v>
      </c>
      <c r="B136" s="492"/>
      <c r="C136" s="492"/>
      <c r="D136" s="498" t="s">
        <v>84</v>
      </c>
      <c r="E136" s="504">
        <v>100</v>
      </c>
      <c r="F136" s="504">
        <v>48</v>
      </c>
      <c r="G136" s="499">
        <f t="shared" si="3"/>
        <v>4800</v>
      </c>
    </row>
    <row r="137" spans="1:7" ht="31.5" x14ac:dyDescent="0.25">
      <c r="A137" s="502" t="s">
        <v>428</v>
      </c>
      <c r="B137" s="492"/>
      <c r="C137" s="492"/>
      <c r="D137" s="498" t="s">
        <v>84</v>
      </c>
      <c r="E137" s="504">
        <v>10</v>
      </c>
      <c r="F137" s="504">
        <v>310</v>
      </c>
      <c r="G137" s="499">
        <f t="shared" si="3"/>
        <v>3100</v>
      </c>
    </row>
    <row r="138" spans="1:7" ht="15.75" x14ac:dyDescent="0.25">
      <c r="A138" s="502" t="s">
        <v>429</v>
      </c>
      <c r="B138" s="492"/>
      <c r="C138" s="492"/>
      <c r="D138" s="498" t="s">
        <v>84</v>
      </c>
      <c r="E138" s="504">
        <v>100</v>
      </c>
      <c r="F138" s="504">
        <v>30</v>
      </c>
      <c r="G138" s="499">
        <f t="shared" si="3"/>
        <v>3000</v>
      </c>
    </row>
    <row r="139" spans="1:7" ht="15.75" x14ac:dyDescent="0.25">
      <c r="A139" s="502" t="s">
        <v>430</v>
      </c>
      <c r="B139" s="492"/>
      <c r="C139" s="492"/>
      <c r="D139" s="498" t="s">
        <v>84</v>
      </c>
      <c r="E139" s="504">
        <v>10</v>
      </c>
      <c r="F139" s="504">
        <v>580</v>
      </c>
      <c r="G139" s="499">
        <f t="shared" si="3"/>
        <v>5800</v>
      </c>
    </row>
    <row r="140" spans="1:7" ht="31.5" x14ac:dyDescent="0.25">
      <c r="A140" s="502" t="s">
        <v>431</v>
      </c>
      <c r="B140" s="492"/>
      <c r="C140" s="492"/>
      <c r="D140" s="498" t="s">
        <v>84</v>
      </c>
      <c r="E140" s="504">
        <v>10</v>
      </c>
      <c r="F140" s="504">
        <v>700</v>
      </c>
      <c r="G140" s="499">
        <f t="shared" si="3"/>
        <v>7000</v>
      </c>
    </row>
    <row r="141" spans="1:7" ht="18.75" x14ac:dyDescent="0.25">
      <c r="A141" s="553" t="s">
        <v>432</v>
      </c>
      <c r="B141" s="492"/>
      <c r="C141" s="492"/>
      <c r="D141" s="498" t="s">
        <v>84</v>
      </c>
      <c r="E141" s="559">
        <v>10</v>
      </c>
      <c r="F141" s="566">
        <v>1699</v>
      </c>
      <c r="G141" s="499">
        <f t="shared" si="3"/>
        <v>16990</v>
      </c>
    </row>
    <row r="142" spans="1:7" ht="18.75" x14ac:dyDescent="0.25">
      <c r="A142" s="522" t="s">
        <v>433</v>
      </c>
      <c r="B142" s="492"/>
      <c r="C142" s="492"/>
      <c r="D142" s="492" t="s">
        <v>84</v>
      </c>
      <c r="E142" s="526">
        <v>1</v>
      </c>
      <c r="F142" s="527">
        <v>2290</v>
      </c>
      <c r="G142" s="499">
        <f t="shared" si="3"/>
        <v>2290</v>
      </c>
    </row>
    <row r="143" spans="1:7" ht="18.75" x14ac:dyDescent="0.25">
      <c r="A143" s="522" t="s">
        <v>434</v>
      </c>
      <c r="B143" s="492"/>
      <c r="C143" s="492"/>
      <c r="D143" s="492" t="s">
        <v>84</v>
      </c>
      <c r="E143" s="526">
        <v>9</v>
      </c>
      <c r="F143" s="527">
        <v>190</v>
      </c>
      <c r="G143" s="499">
        <f t="shared" si="3"/>
        <v>1710</v>
      </c>
    </row>
    <row r="144" spans="1:7" ht="18.75" hidden="1" x14ac:dyDescent="0.25">
      <c r="A144" s="645" t="s">
        <v>236</v>
      </c>
      <c r="B144" s="645"/>
      <c r="C144" s="252"/>
      <c r="D144" s="94" t="s">
        <v>122</v>
      </c>
      <c r="E144" s="526">
        <v>9</v>
      </c>
      <c r="F144" s="380">
        <v>2500</v>
      </c>
      <c r="G144" s="59">
        <f t="shared" ref="G144:G150" si="4">E144*F144</f>
        <v>22500</v>
      </c>
    </row>
    <row r="145" spans="1:9" hidden="1" x14ac:dyDescent="0.25">
      <c r="A145" s="645" t="s">
        <v>237</v>
      </c>
      <c r="B145" s="645"/>
      <c r="C145" s="252"/>
      <c r="D145" s="94" t="s">
        <v>123</v>
      </c>
      <c r="E145" s="163">
        <v>0</v>
      </c>
      <c r="F145" s="380">
        <v>500</v>
      </c>
      <c r="G145" s="59">
        <f t="shared" si="4"/>
        <v>0</v>
      </c>
    </row>
    <row r="146" spans="1:9" hidden="1" x14ac:dyDescent="0.25">
      <c r="A146" s="665" t="s">
        <v>238</v>
      </c>
      <c r="B146" s="665"/>
      <c r="C146" s="252"/>
      <c r="D146" s="94" t="s">
        <v>123</v>
      </c>
      <c r="E146" s="378">
        <v>0</v>
      </c>
      <c r="F146" s="380">
        <v>350</v>
      </c>
      <c r="G146" s="59">
        <f t="shared" si="4"/>
        <v>0</v>
      </c>
    </row>
    <row r="147" spans="1:9" hidden="1" x14ac:dyDescent="0.25">
      <c r="A147" s="666" t="s">
        <v>239</v>
      </c>
      <c r="B147" s="666"/>
      <c r="C147" s="252"/>
      <c r="D147" s="94"/>
      <c r="E147" s="379">
        <v>0</v>
      </c>
      <c r="F147" s="379"/>
      <c r="G147" s="59"/>
    </row>
    <row r="148" spans="1:9" hidden="1" x14ac:dyDescent="0.25">
      <c r="A148" s="667" t="s">
        <v>240</v>
      </c>
      <c r="B148" s="667"/>
      <c r="C148" s="251"/>
      <c r="D148" s="185" t="s">
        <v>84</v>
      </c>
      <c r="E148" s="379">
        <v>0</v>
      </c>
      <c r="F148" s="379">
        <v>500</v>
      </c>
      <c r="G148" s="59">
        <f t="shared" si="4"/>
        <v>0</v>
      </c>
    </row>
    <row r="149" spans="1:9" hidden="1" x14ac:dyDescent="0.25">
      <c r="A149" s="667" t="s">
        <v>226</v>
      </c>
      <c r="B149" s="667"/>
      <c r="C149" s="251"/>
      <c r="D149" s="185" t="s">
        <v>84</v>
      </c>
      <c r="E149" s="379">
        <v>0</v>
      </c>
      <c r="F149" s="379">
        <v>300</v>
      </c>
      <c r="G149" s="59">
        <f t="shared" si="4"/>
        <v>0</v>
      </c>
    </row>
    <row r="150" spans="1:9" hidden="1" x14ac:dyDescent="0.25">
      <c r="A150" s="645" t="s">
        <v>241</v>
      </c>
      <c r="B150" s="645"/>
      <c r="C150" s="251"/>
      <c r="D150" s="185" t="s">
        <v>84</v>
      </c>
      <c r="E150" s="163">
        <v>0</v>
      </c>
      <c r="F150" s="380">
        <v>500</v>
      </c>
      <c r="G150" s="59">
        <f t="shared" si="4"/>
        <v>0</v>
      </c>
    </row>
    <row r="151" spans="1:9" x14ac:dyDescent="0.25">
      <c r="A151" s="376"/>
      <c r="B151" s="377"/>
      <c r="C151" s="329"/>
      <c r="D151" s="60"/>
      <c r="E151" s="347"/>
      <c r="F151" s="381"/>
      <c r="G151" s="268">
        <f>SUM(G63:G143)</f>
        <v>397000</v>
      </c>
    </row>
    <row r="152" spans="1:9" x14ac:dyDescent="0.25">
      <c r="E152" s="39"/>
    </row>
    <row r="153" spans="1:9" ht="21.75" customHeight="1" x14ac:dyDescent="0.25">
      <c r="A153" s="699" t="str">
        <f>'патриотика0,3664'!A159</f>
        <v xml:space="preserve">Затраты на оплату труда работников, непосредственно НЕ связанных с выполнением работы </v>
      </c>
      <c r="B153" s="699"/>
      <c r="C153" s="699"/>
      <c r="D153" s="699"/>
      <c r="E153" s="699"/>
      <c r="F153" s="699"/>
    </row>
    <row r="154" spans="1:9" x14ac:dyDescent="0.25">
      <c r="A154" s="47"/>
      <c r="B154" s="47"/>
      <c r="C154" s="47"/>
      <c r="D154" s="47"/>
      <c r="E154" s="47"/>
      <c r="F154" s="48">
        <f>D49</f>
        <v>0.3664</v>
      </c>
    </row>
    <row r="155" spans="1:9" ht="63" customHeight="1" x14ac:dyDescent="0.25">
      <c r="A155" s="641" t="s">
        <v>0</v>
      </c>
      <c r="B155" s="646" t="s">
        <v>1</v>
      </c>
      <c r="C155" s="324"/>
      <c r="D155" s="646" t="s">
        <v>2</v>
      </c>
      <c r="E155" s="638" t="s">
        <v>3</v>
      </c>
      <c r="F155" s="639"/>
      <c r="G155" s="647" t="s">
        <v>35</v>
      </c>
      <c r="H155" s="324" t="s">
        <v>5</v>
      </c>
      <c r="I155" s="646" t="s">
        <v>6</v>
      </c>
    </row>
    <row r="156" spans="1:9" ht="29.25" customHeight="1" x14ac:dyDescent="0.25">
      <c r="A156" s="643"/>
      <c r="B156" s="646"/>
      <c r="C156" s="324"/>
      <c r="D156" s="646"/>
      <c r="E156" s="324" t="s">
        <v>296</v>
      </c>
      <c r="F156" s="324" t="s">
        <v>295</v>
      </c>
      <c r="G156" s="647"/>
      <c r="H156" s="324" t="s">
        <v>51</v>
      </c>
      <c r="I156" s="646"/>
    </row>
    <row r="157" spans="1:9" x14ac:dyDescent="0.25">
      <c r="A157" s="642"/>
      <c r="B157" s="646"/>
      <c r="C157" s="324"/>
      <c r="D157" s="646"/>
      <c r="E157" s="324" t="s">
        <v>4</v>
      </c>
      <c r="F157" s="53"/>
      <c r="G157" s="647"/>
      <c r="H157" s="324" t="s">
        <v>298</v>
      </c>
      <c r="I157" s="646"/>
    </row>
    <row r="158" spans="1:9" x14ac:dyDescent="0.25">
      <c r="A158" s="641">
        <v>1</v>
      </c>
      <c r="B158" s="646">
        <v>2</v>
      </c>
      <c r="C158" s="324"/>
      <c r="D158" s="646">
        <v>3</v>
      </c>
      <c r="E158" s="646" t="s">
        <v>297</v>
      </c>
      <c r="F158" s="646">
        <v>5</v>
      </c>
      <c r="G158" s="647" t="s">
        <v>7</v>
      </c>
      <c r="H158" s="324" t="s">
        <v>52</v>
      </c>
      <c r="I158" s="646" t="s">
        <v>53</v>
      </c>
    </row>
    <row r="159" spans="1:9" x14ac:dyDescent="0.25">
      <c r="A159" s="642"/>
      <c r="B159" s="646"/>
      <c r="C159" s="324"/>
      <c r="D159" s="646"/>
      <c r="E159" s="646"/>
      <c r="F159" s="646"/>
      <c r="G159" s="647"/>
      <c r="H159" s="54">
        <v>1774.4</v>
      </c>
      <c r="I159" s="646"/>
    </row>
    <row r="160" spans="1:9" x14ac:dyDescent="0.25">
      <c r="A160" s="383" t="s">
        <v>187</v>
      </c>
      <c r="B160" s="87">
        <f>'патриотика0,3664'!B166</f>
        <v>91213.26</v>
      </c>
      <c r="C160" s="87"/>
      <c r="D160" s="324">
        <f>1*F154</f>
        <v>0.3664</v>
      </c>
      <c r="E160" s="56">
        <f>D160*1774.4</f>
        <v>650.14016000000004</v>
      </c>
      <c r="F160" s="57">
        <v>1</v>
      </c>
      <c r="G160" s="58">
        <f>E160/F160</f>
        <v>650.14016000000004</v>
      </c>
      <c r="H160" s="56">
        <f>B160*1.302/1774.4*12</f>
        <v>803.15372759242564</v>
      </c>
      <c r="I160" s="56">
        <f>'патриотика0,3664'!I166</f>
        <v>556515.97296153603</v>
      </c>
    </row>
    <row r="161" spans="1:9" x14ac:dyDescent="0.25">
      <c r="A161" s="382" t="s">
        <v>141</v>
      </c>
      <c r="B161" s="87">
        <f>'патриотика0,3664'!B167</f>
        <v>31947</v>
      </c>
      <c r="C161" s="166"/>
      <c r="D161" s="324">
        <f>1*F154</f>
        <v>0.3664</v>
      </c>
      <c r="E161" s="56">
        <f>D161*1774.4</f>
        <v>650.14016000000004</v>
      </c>
      <c r="F161" s="57">
        <v>1</v>
      </c>
      <c r="G161" s="58">
        <f t="shared" ref="G161:G163" si="5">E161/F161</f>
        <v>650.14016000000004</v>
      </c>
      <c r="H161" s="56">
        <f>B161*1.302/1774.4*12</f>
        <v>281.30068079350764</v>
      </c>
      <c r="I161" s="56">
        <f>'патриотика0,3664'!I167</f>
        <v>194911.49961920001</v>
      </c>
    </row>
    <row r="162" spans="1:9" x14ac:dyDescent="0.25">
      <c r="A162" s="382" t="s">
        <v>87</v>
      </c>
      <c r="B162" s="87">
        <f>'патриотика0,3664'!B168</f>
        <v>31947</v>
      </c>
      <c r="C162" s="58"/>
      <c r="D162" s="324">
        <f>0.5*F154</f>
        <v>0.1832</v>
      </c>
      <c r="E162" s="56">
        <f>D162*1774.4</f>
        <v>325.07008000000002</v>
      </c>
      <c r="F162" s="57">
        <v>1</v>
      </c>
      <c r="G162" s="58">
        <f t="shared" si="5"/>
        <v>325.07008000000002</v>
      </c>
      <c r="H162" s="56">
        <f>B162*1.302/1774.4*12</f>
        <v>281.30068079350764</v>
      </c>
      <c r="I162" s="56">
        <f>'патриотика0,3664'!I168</f>
        <v>97455.744809600001</v>
      </c>
    </row>
    <row r="163" spans="1:9" x14ac:dyDescent="0.25">
      <c r="A163" s="384" t="s">
        <v>142</v>
      </c>
      <c r="B163" s="87">
        <f>'патриотика0,3664'!B169</f>
        <v>31947</v>
      </c>
      <c r="C163" s="326"/>
      <c r="D163" s="324">
        <f>1*F154</f>
        <v>0.3664</v>
      </c>
      <c r="E163" s="56">
        <f>D163*1774.4</f>
        <v>650.14016000000004</v>
      </c>
      <c r="F163" s="57">
        <v>1</v>
      </c>
      <c r="G163" s="58">
        <f t="shared" si="5"/>
        <v>650.14016000000004</v>
      </c>
      <c r="H163" s="56">
        <f>B163*1.302/1774.4*12</f>
        <v>281.30068079350764</v>
      </c>
      <c r="I163" s="56">
        <f>'патриотика0,3664'!I169</f>
        <v>194911.50961920002</v>
      </c>
    </row>
    <row r="164" spans="1:9" ht="15" customHeight="1" x14ac:dyDescent="0.25">
      <c r="A164" s="686" t="s">
        <v>28</v>
      </c>
      <c r="B164" s="687"/>
      <c r="C164" s="687"/>
      <c r="D164" s="687"/>
      <c r="E164" s="687"/>
      <c r="F164" s="688"/>
      <c r="G164" s="320"/>
      <c r="H164" s="320"/>
      <c r="I164" s="385">
        <f>SUM(I160:I163)</f>
        <v>1043794.7270095361</v>
      </c>
    </row>
    <row r="165" spans="1:9" x14ac:dyDescent="0.25">
      <c r="A165" s="147"/>
      <c r="B165" s="147"/>
      <c r="C165" s="147"/>
      <c r="D165" s="147"/>
      <c r="E165" s="147"/>
      <c r="F165" s="147"/>
      <c r="G165" s="170"/>
    </row>
    <row r="166" spans="1:9" x14ac:dyDescent="0.25">
      <c r="A166" s="147"/>
      <c r="B166" s="147"/>
      <c r="C166" s="147"/>
      <c r="D166" s="147"/>
      <c r="E166" s="147"/>
      <c r="F166" s="147"/>
      <c r="G166" s="170"/>
    </row>
    <row r="167" spans="1:9" s="45" customFormat="1" ht="14.45" customHeight="1" x14ac:dyDescent="0.25">
      <c r="A167" s="640" t="s">
        <v>340</v>
      </c>
      <c r="B167" s="640"/>
      <c r="C167" s="640"/>
      <c r="D167" s="640"/>
      <c r="E167" s="640"/>
      <c r="F167" s="640"/>
      <c r="G167" s="640"/>
      <c r="H167" s="640"/>
    </row>
    <row r="168" spans="1:9" s="45" customFormat="1" ht="14.45" customHeight="1" x14ac:dyDescent="0.25">
      <c r="A168" s="649" t="s">
        <v>60</v>
      </c>
      <c r="B168" s="652" t="s">
        <v>155</v>
      </c>
      <c r="C168" s="653"/>
      <c r="D168" s="658"/>
      <c r="E168" s="659"/>
      <c r="F168" s="660"/>
      <c r="G168" s="207"/>
      <c r="H168" s="207"/>
    </row>
    <row r="169" spans="1:9" s="45" customFormat="1" ht="14.45" customHeight="1" x14ac:dyDescent="0.25">
      <c r="A169" s="650"/>
      <c r="B169" s="654"/>
      <c r="C169" s="655"/>
      <c r="D169" s="661" t="s">
        <v>159</v>
      </c>
      <c r="E169" s="650" t="s">
        <v>165</v>
      </c>
      <c r="F169" s="650" t="s">
        <v>6</v>
      </c>
    </row>
    <row r="170" spans="1:9" s="45" customFormat="1" x14ac:dyDescent="0.25">
      <c r="A170" s="651"/>
      <c r="B170" s="656"/>
      <c r="C170" s="657"/>
      <c r="D170" s="662"/>
      <c r="E170" s="651"/>
      <c r="F170" s="651"/>
    </row>
    <row r="171" spans="1:9" s="45" customFormat="1" x14ac:dyDescent="0.25">
      <c r="A171" s="315">
        <v>1</v>
      </c>
      <c r="B171" s="663">
        <v>2</v>
      </c>
      <c r="C171" s="664"/>
      <c r="D171" s="315">
        <v>5</v>
      </c>
      <c r="E171" s="315">
        <v>6</v>
      </c>
      <c r="F171" s="315">
        <v>7</v>
      </c>
    </row>
    <row r="172" spans="1:9" s="45" customFormat="1" x14ac:dyDescent="0.25">
      <c r="A172" s="313" t="s">
        <v>162</v>
      </c>
      <c r="B172" s="315">
        <f>'патриотика0,3664'!B177</f>
        <v>0.3664</v>
      </c>
      <c r="C172" s="314"/>
      <c r="D172" s="145">
        <f>'патриотика0,3664'!D177</f>
        <v>52769.77</v>
      </c>
      <c r="E172" s="178">
        <f t="shared" ref="E172:E174" si="6">D172*30.2%</f>
        <v>15936.470539999998</v>
      </c>
      <c r="F172" s="178">
        <f>(D172+E172)*B172</f>
        <v>25173.966533856001</v>
      </c>
    </row>
    <row r="173" spans="1:9" s="45" customFormat="1" x14ac:dyDescent="0.25">
      <c r="A173" s="313" t="s">
        <v>163</v>
      </c>
      <c r="B173" s="487">
        <f>'патриотика0,3664'!B178</f>
        <v>0.3664</v>
      </c>
      <c r="C173" s="314"/>
      <c r="D173" s="145">
        <f>'патриотика0,3664'!D178</f>
        <v>26384.89</v>
      </c>
      <c r="E173" s="178">
        <f t="shared" si="6"/>
        <v>7968.2367799999993</v>
      </c>
      <c r="F173" s="178">
        <f t="shared" ref="F173:F174" si="7">(D173+E173)*B173</f>
        <v>12586.985652191999</v>
      </c>
    </row>
    <row r="174" spans="1:9" s="45" customFormat="1" x14ac:dyDescent="0.25">
      <c r="A174" s="313" t="s">
        <v>142</v>
      </c>
      <c r="B174" s="487">
        <f>'патриотика0,3664'!B179</f>
        <v>0.3664</v>
      </c>
      <c r="C174" s="314"/>
      <c r="D174" s="145">
        <f>'патриотика0,3664'!D179</f>
        <v>52769.77</v>
      </c>
      <c r="E174" s="178">
        <f t="shared" si="6"/>
        <v>15936.470539999998</v>
      </c>
      <c r="F174" s="178">
        <f t="shared" si="7"/>
        <v>25173.966533856001</v>
      </c>
    </row>
    <row r="175" spans="1:9" s="45" customFormat="1" x14ac:dyDescent="0.25">
      <c r="A175" s="148"/>
      <c r="B175" s="311"/>
      <c r="C175" s="149"/>
      <c r="D175" s="124">
        <v>0</v>
      </c>
      <c r="E175" s="124">
        <v>0</v>
      </c>
      <c r="F175" s="275">
        <f>SUM(F172:F174)</f>
        <v>62934.918719904003</v>
      </c>
    </row>
    <row r="176" spans="1:9" x14ac:dyDescent="0.25">
      <c r="A176" s="147"/>
      <c r="B176" s="147"/>
      <c r="C176" s="147"/>
      <c r="D176" s="147"/>
      <c r="E176" s="147"/>
      <c r="F176" s="147"/>
      <c r="G176" s="170"/>
    </row>
    <row r="177" spans="1:7" x14ac:dyDescent="0.25">
      <c r="A177" s="705" t="s">
        <v>110</v>
      </c>
      <c r="B177" s="705"/>
      <c r="C177" s="705"/>
      <c r="D177" s="705"/>
      <c r="E177" s="705"/>
      <c r="F177" s="705"/>
    </row>
    <row r="178" spans="1:7" ht="38.25" x14ac:dyDescent="0.25">
      <c r="A178" s="313" t="s">
        <v>111</v>
      </c>
      <c r="B178" s="315" t="s">
        <v>112</v>
      </c>
      <c r="C178" s="338"/>
      <c r="D178" s="315" t="s">
        <v>116</v>
      </c>
      <c r="E178" s="315" t="s">
        <v>113</v>
      </c>
      <c r="F178" s="315" t="s">
        <v>114</v>
      </c>
      <c r="G178" s="327" t="s">
        <v>6</v>
      </c>
    </row>
    <row r="179" spans="1:7" x14ac:dyDescent="0.25">
      <c r="A179" s="313">
        <v>1</v>
      </c>
      <c r="B179" s="315">
        <v>2</v>
      </c>
      <c r="C179" s="338"/>
      <c r="D179" s="315">
        <v>3</v>
      </c>
      <c r="E179" s="315">
        <v>4</v>
      </c>
      <c r="F179" s="315">
        <v>5</v>
      </c>
      <c r="G179" s="276" t="s">
        <v>337</v>
      </c>
    </row>
    <row r="180" spans="1:7" x14ac:dyDescent="0.25">
      <c r="A180" s="315" t="s">
        <v>115</v>
      </c>
      <c r="B180" s="315">
        <v>1</v>
      </c>
      <c r="C180" s="315"/>
      <c r="D180" s="315">
        <v>12</v>
      </c>
      <c r="E180" s="315">
        <v>75</v>
      </c>
      <c r="F180" s="109">
        <v>242.5</v>
      </c>
      <c r="G180" s="89">
        <f>F180*F154</f>
        <v>88.852000000000004</v>
      </c>
    </row>
    <row r="181" spans="1:7" ht="14.45" customHeight="1" x14ac:dyDescent="0.25">
      <c r="A181" s="123"/>
      <c r="B181" s="123"/>
      <c r="C181" s="123"/>
      <c r="D181" s="123"/>
      <c r="E181" s="311" t="s">
        <v>88</v>
      </c>
      <c r="F181" s="124"/>
      <c r="G181" s="277">
        <f>G180</f>
        <v>88.852000000000004</v>
      </c>
    </row>
    <row r="182" spans="1:7" x14ac:dyDescent="0.25">
      <c r="A182" s="50"/>
      <c r="B182" s="49"/>
      <c r="C182" s="49"/>
      <c r="D182" s="49"/>
      <c r="E182" s="49"/>
      <c r="F182" s="49"/>
    </row>
    <row r="183" spans="1:7" ht="15.75" x14ac:dyDescent="0.25">
      <c r="A183" s="644" t="s">
        <v>12</v>
      </c>
      <c r="B183" s="644"/>
      <c r="C183" s="644"/>
      <c r="D183" s="644"/>
      <c r="E183" s="644"/>
      <c r="F183" s="644"/>
    </row>
    <row r="184" spans="1:7" x14ac:dyDescent="0.25">
      <c r="A184" s="706"/>
      <c r="B184" s="706"/>
      <c r="C184" s="706"/>
      <c r="D184" s="706"/>
      <c r="E184" s="706"/>
      <c r="F184" s="49"/>
    </row>
    <row r="185" spans="1:7" x14ac:dyDescent="0.25">
      <c r="A185" s="49"/>
      <c r="B185" s="49"/>
      <c r="C185" s="49"/>
      <c r="D185" s="49"/>
      <c r="E185" s="49"/>
      <c r="F185" s="51">
        <f>F154</f>
        <v>0.3664</v>
      </c>
    </row>
    <row r="186" spans="1:7" x14ac:dyDescent="0.25">
      <c r="A186" s="648" t="s">
        <v>13</v>
      </c>
      <c r="B186" s="648" t="s">
        <v>11</v>
      </c>
      <c r="C186" s="331"/>
      <c r="D186" s="648" t="s">
        <v>14</v>
      </c>
      <c r="E186" s="648" t="s">
        <v>15</v>
      </c>
      <c r="F186" s="648" t="s">
        <v>6</v>
      </c>
    </row>
    <row r="187" spans="1:7" x14ac:dyDescent="0.25">
      <c r="A187" s="648"/>
      <c r="B187" s="648"/>
      <c r="C187" s="331"/>
      <c r="D187" s="648"/>
      <c r="E187" s="648"/>
      <c r="F187" s="648"/>
    </row>
    <row r="188" spans="1:7" x14ac:dyDescent="0.25">
      <c r="A188" s="331">
        <v>1</v>
      </c>
      <c r="B188" s="331">
        <v>2</v>
      </c>
      <c r="C188" s="331"/>
      <c r="D188" s="331">
        <v>3</v>
      </c>
      <c r="E188" s="331">
        <v>4</v>
      </c>
      <c r="F188" s="331" t="s">
        <v>89</v>
      </c>
    </row>
    <row r="189" spans="1:7" ht="15.75" x14ac:dyDescent="0.25">
      <c r="A189" s="313" t="str">
        <f>'патриотика0,3664'!A198</f>
        <v>Теплоэнергия</v>
      </c>
      <c r="B189" s="353" t="s">
        <v>18</v>
      </c>
      <c r="C189" s="315"/>
      <c r="D189" s="109">
        <f>'патриотика0,3664'!D198</f>
        <v>20.152000000000001</v>
      </c>
      <c r="E189" s="109">
        <f>'патриотика0,3664'!E198</f>
        <v>3520</v>
      </c>
      <c r="F189" s="58">
        <f>D189*E189+0.22</f>
        <v>70935.260000000009</v>
      </c>
    </row>
    <row r="190" spans="1:7" ht="18.75" x14ac:dyDescent="0.25">
      <c r="A190" s="313" t="str">
        <f>'патриотика0,3664'!A199</f>
        <v xml:space="preserve">Водоснабжение </v>
      </c>
      <c r="B190" s="353" t="s">
        <v>193</v>
      </c>
      <c r="C190" s="315"/>
      <c r="D190" s="109">
        <f>'патриотика0,3664'!D199</f>
        <v>38.948320000000002</v>
      </c>
      <c r="E190" s="109">
        <f>'патриотика0,3664'!E199</f>
        <v>63.4</v>
      </c>
      <c r="F190" s="58">
        <f t="shared" ref="F190:F194" si="8">D190*E190</f>
        <v>2469.323488</v>
      </c>
    </row>
    <row r="191" spans="1:7" ht="18.75" x14ac:dyDescent="0.25">
      <c r="A191" s="313" t="str">
        <f>'патриотика0,3664'!A200</f>
        <v>Водоотведение (септик)</v>
      </c>
      <c r="B191" s="353" t="s">
        <v>54</v>
      </c>
      <c r="C191" s="315"/>
      <c r="D191" s="109">
        <f>'патриотика0,3664'!D200</f>
        <v>1.0992</v>
      </c>
      <c r="E191" s="109">
        <f>'патриотика0,3664'!E200</f>
        <v>14000</v>
      </c>
      <c r="F191" s="58">
        <f t="shared" si="8"/>
        <v>15388.8</v>
      </c>
    </row>
    <row r="192" spans="1:7" ht="15.75" x14ac:dyDescent="0.25">
      <c r="A192" s="313" t="str">
        <f>'патриотика0,3664'!A201</f>
        <v>Электроэнергия</v>
      </c>
      <c r="B192" s="353" t="s">
        <v>83</v>
      </c>
      <c r="C192" s="315"/>
      <c r="D192" s="109">
        <f>'патриотика0,3664'!D201</f>
        <v>2.1983999999999999</v>
      </c>
      <c r="E192" s="109">
        <f>'патриотика0,3664'!E201</f>
        <v>7600</v>
      </c>
      <c r="F192" s="58">
        <f t="shared" si="8"/>
        <v>16707.84</v>
      </c>
    </row>
    <row r="193" spans="1:7" x14ac:dyDescent="0.25">
      <c r="A193" s="313" t="str">
        <f>'патриотика0,3664'!A202</f>
        <v>ТКО</v>
      </c>
      <c r="B193" s="331" t="s">
        <v>22</v>
      </c>
      <c r="C193" s="315"/>
      <c r="D193" s="109">
        <f>'патриотика0,3664'!D202</f>
        <v>2.9312</v>
      </c>
      <c r="E193" s="109">
        <f>'патриотика0,3664'!E202</f>
        <v>2250</v>
      </c>
      <c r="F193" s="58">
        <f t="shared" si="8"/>
        <v>6595.2</v>
      </c>
    </row>
    <row r="194" spans="1:7" ht="15.75" x14ac:dyDescent="0.25">
      <c r="A194" s="313" t="str">
        <f>'патриотика0,3664'!A203</f>
        <v>Электроэнергия (резерв)</v>
      </c>
      <c r="B194" s="353" t="s">
        <v>83</v>
      </c>
      <c r="C194" s="315"/>
      <c r="D194" s="109">
        <f>'патриотика0,3664'!D203</f>
        <v>1.8320000000000001</v>
      </c>
      <c r="E194" s="109">
        <f>'патриотика0,3664'!E203</f>
        <v>7600</v>
      </c>
      <c r="F194" s="58">
        <f t="shared" si="8"/>
        <v>13923.2</v>
      </c>
    </row>
    <row r="195" spans="1:7" x14ac:dyDescent="0.25">
      <c r="A195" s="709"/>
      <c r="B195" s="710"/>
      <c r="C195" s="710"/>
      <c r="D195" s="710"/>
      <c r="E195" s="711"/>
      <c r="F195" s="278">
        <f>SUM(F189:F194)</f>
        <v>126019.623488</v>
      </c>
    </row>
    <row r="196" spans="1:7" ht="15" hidden="1" customHeight="1" x14ac:dyDescent="0.25">
      <c r="A196" s="712" t="s">
        <v>44</v>
      </c>
      <c r="B196" s="712"/>
      <c r="C196" s="712"/>
      <c r="D196" s="712"/>
      <c r="E196" s="712"/>
      <c r="F196" s="712"/>
    </row>
    <row r="197" spans="1:7" hidden="1" x14ac:dyDescent="0.25">
      <c r="A197" s="322" t="s">
        <v>81</v>
      </c>
      <c r="B197" s="44" t="s">
        <v>191</v>
      </c>
      <c r="C197" s="44"/>
      <c r="D197" s="44"/>
      <c r="E197" s="45"/>
      <c r="F197" s="45"/>
    </row>
    <row r="198" spans="1:7" hidden="1" x14ac:dyDescent="0.25">
      <c r="D198" s="46">
        <f>F185</f>
        <v>0.3664</v>
      </c>
    </row>
    <row r="199" spans="1:7" hidden="1" x14ac:dyDescent="0.25">
      <c r="A199" s="638" t="s">
        <v>107</v>
      </c>
      <c r="B199" s="639"/>
      <c r="C199" s="324"/>
      <c r="D199" s="324" t="s">
        <v>11</v>
      </c>
      <c r="E199" s="324" t="s">
        <v>48</v>
      </c>
      <c r="F199" s="324" t="s">
        <v>15</v>
      </c>
      <c r="G199" s="317" t="s">
        <v>6</v>
      </c>
    </row>
    <row r="200" spans="1:7" hidden="1" x14ac:dyDescent="0.25">
      <c r="A200" s="638">
        <v>1</v>
      </c>
      <c r="B200" s="639"/>
      <c r="C200" s="319"/>
      <c r="D200" s="324">
        <v>2</v>
      </c>
      <c r="E200" s="324">
        <v>3</v>
      </c>
      <c r="F200" s="324">
        <v>4</v>
      </c>
      <c r="G200" s="64" t="s">
        <v>68</v>
      </c>
    </row>
    <row r="201" spans="1:7" hidden="1" x14ac:dyDescent="0.25">
      <c r="A201" s="707" t="str">
        <f>A53</f>
        <v>Суточные</v>
      </c>
      <c r="B201" s="708"/>
      <c r="C201" s="330"/>
      <c r="D201" s="324" t="str">
        <f>D53</f>
        <v>сутки</v>
      </c>
      <c r="E201" s="220">
        <f>D198</f>
        <v>0.3664</v>
      </c>
      <c r="F201" s="327">
        <f>F53</f>
        <v>450</v>
      </c>
      <c r="G201" s="64">
        <f>E201*F201</f>
        <v>164.88</v>
      </c>
    </row>
    <row r="202" spans="1:7" hidden="1" x14ac:dyDescent="0.25">
      <c r="A202" s="707" t="str">
        <f>A54</f>
        <v>Проезд</v>
      </c>
      <c r="B202" s="708"/>
      <c r="C202" s="330"/>
      <c r="D202" s="324" t="str">
        <f>D54</f>
        <v xml:space="preserve">Ед. </v>
      </c>
      <c r="E202" s="220">
        <v>0.33500000000000002</v>
      </c>
      <c r="F202" s="327">
        <f>F54</f>
        <v>8200</v>
      </c>
      <c r="G202" s="64">
        <f>E202*F202</f>
        <v>2747</v>
      </c>
    </row>
    <row r="203" spans="1:7" hidden="1" x14ac:dyDescent="0.25">
      <c r="A203" s="707" t="str">
        <f>A55</f>
        <v xml:space="preserve">Проживание </v>
      </c>
      <c r="B203" s="708"/>
      <c r="C203" s="330"/>
      <c r="D203" s="324" t="str">
        <f>D55</f>
        <v>сутки</v>
      </c>
      <c r="E203" s="220">
        <v>0.33500000000000002</v>
      </c>
      <c r="F203" s="327">
        <f>F55</f>
        <v>1257.8399999999999</v>
      </c>
      <c r="G203" s="64">
        <f>E203*F203-0.25</f>
        <v>421.12639999999999</v>
      </c>
    </row>
    <row r="204" spans="1:7" hidden="1" x14ac:dyDescent="0.25">
      <c r="A204" s="694" t="s">
        <v>106</v>
      </c>
      <c r="B204" s="695"/>
      <c r="C204" s="323"/>
      <c r="D204" s="60"/>
      <c r="E204" s="65"/>
      <c r="F204" s="65"/>
      <c r="G204" s="269">
        <v>0</v>
      </c>
    </row>
    <row r="205" spans="1:7" x14ac:dyDescent="0.25">
      <c r="A205" s="704" t="s">
        <v>36</v>
      </c>
      <c r="B205" s="704"/>
      <c r="C205" s="704"/>
      <c r="D205" s="704"/>
      <c r="E205" s="704"/>
      <c r="F205" s="704"/>
      <c r="G205" s="168"/>
    </row>
    <row r="206" spans="1:7" x14ac:dyDescent="0.25">
      <c r="D206" s="52">
        <f>D198</f>
        <v>0.3664</v>
      </c>
    </row>
    <row r="207" spans="1:7" x14ac:dyDescent="0.25">
      <c r="A207" s="646" t="s">
        <v>24</v>
      </c>
      <c r="B207" s="646" t="s">
        <v>11</v>
      </c>
      <c r="C207" s="324"/>
      <c r="D207" s="646" t="s">
        <v>48</v>
      </c>
      <c r="E207" s="646" t="s">
        <v>15</v>
      </c>
      <c r="F207" s="701" t="s">
        <v>177</v>
      </c>
      <c r="G207" s="702" t="s">
        <v>6</v>
      </c>
    </row>
    <row r="208" spans="1:7" ht="3.6" customHeight="1" x14ac:dyDescent="0.25">
      <c r="A208" s="646"/>
      <c r="B208" s="646"/>
      <c r="C208" s="324"/>
      <c r="D208" s="646"/>
      <c r="E208" s="646"/>
      <c r="F208" s="701"/>
      <c r="G208" s="702"/>
    </row>
    <row r="209" spans="1:7" x14ac:dyDescent="0.25">
      <c r="A209" s="324">
        <v>1</v>
      </c>
      <c r="B209" s="324">
        <v>2</v>
      </c>
      <c r="C209" s="324"/>
      <c r="D209" s="324">
        <v>3</v>
      </c>
      <c r="E209" s="324">
        <v>4</v>
      </c>
      <c r="F209" s="324">
        <v>5</v>
      </c>
      <c r="G209" s="64" t="s">
        <v>69</v>
      </c>
    </row>
    <row r="210" spans="1:7" ht="15.75" x14ac:dyDescent="0.25">
      <c r="A210" s="420" t="s">
        <v>251</v>
      </c>
      <c r="B210" s="315" t="s">
        <v>192</v>
      </c>
      <c r="C210" s="315"/>
      <c r="D210" s="401">
        <f>'патриотика0,3664'!D229</f>
        <v>0</v>
      </c>
      <c r="E210" s="393">
        <f>'патриотика0,3664'!E229</f>
        <v>6.5</v>
      </c>
      <c r="F210" s="324">
        <v>12</v>
      </c>
      <c r="G210" s="64">
        <f t="shared" ref="G210:G214" si="9">D210*E210*F210</f>
        <v>0</v>
      </c>
    </row>
    <row r="211" spans="1:7" ht="15.75" x14ac:dyDescent="0.25">
      <c r="A211" s="420" t="s">
        <v>252</v>
      </c>
      <c r="B211" s="315" t="s">
        <v>192</v>
      </c>
      <c r="C211" s="315"/>
      <c r="D211" s="401">
        <f>'патриотика0,3664'!D230</f>
        <v>13.74</v>
      </c>
      <c r="E211" s="393">
        <f>'патриотика0,3664'!E230</f>
        <v>4</v>
      </c>
      <c r="F211" s="324">
        <v>12</v>
      </c>
      <c r="G211" s="64">
        <f t="shared" si="9"/>
        <v>659.52</v>
      </c>
    </row>
    <row r="212" spans="1:7" ht="15.75" x14ac:dyDescent="0.25">
      <c r="A212" s="420" t="s">
        <v>176</v>
      </c>
      <c r="B212" s="315" t="s">
        <v>192</v>
      </c>
      <c r="C212" s="315"/>
      <c r="D212" s="401">
        <f>'патриотика0,3664'!D231</f>
        <v>0.3664</v>
      </c>
      <c r="E212" s="393">
        <f>'патриотика0,3664'!E231</f>
        <v>2183</v>
      </c>
      <c r="F212" s="324">
        <v>12</v>
      </c>
      <c r="G212" s="64">
        <f t="shared" si="9"/>
        <v>9598.2144000000008</v>
      </c>
    </row>
    <row r="213" spans="1:7" ht="15.75" x14ac:dyDescent="0.25">
      <c r="A213" s="420" t="s">
        <v>253</v>
      </c>
      <c r="B213" s="315" t="s">
        <v>192</v>
      </c>
      <c r="C213" s="315"/>
      <c r="D213" s="401">
        <f>'патриотика0,3664'!D232</f>
        <v>0.3664</v>
      </c>
      <c r="E213" s="393">
        <f>'патриотика0,3664'!E232</f>
        <v>16800</v>
      </c>
      <c r="F213" s="324">
        <v>12</v>
      </c>
      <c r="G213" s="64">
        <f>D213*E213*F213+1.46</f>
        <v>73867.700000000012</v>
      </c>
    </row>
    <row r="214" spans="1:7" ht="15.75" x14ac:dyDescent="0.25">
      <c r="A214" s="420" t="s">
        <v>254</v>
      </c>
      <c r="B214" s="315" t="s">
        <v>192</v>
      </c>
      <c r="C214" s="315"/>
      <c r="D214" s="401">
        <f>'патриотика0,3664'!D233</f>
        <v>0.3664</v>
      </c>
      <c r="E214" s="393">
        <f>'патриотика0,3664'!E233</f>
        <v>680</v>
      </c>
      <c r="F214" s="324">
        <v>1</v>
      </c>
      <c r="G214" s="64">
        <f t="shared" si="9"/>
        <v>249.15200000000002</v>
      </c>
    </row>
    <row r="215" spans="1:7" x14ac:dyDescent="0.25">
      <c r="A215" s="703" t="s">
        <v>26</v>
      </c>
      <c r="B215" s="703"/>
      <c r="C215" s="703"/>
      <c r="D215" s="703"/>
      <c r="E215" s="703"/>
      <c r="F215" s="703"/>
      <c r="G215" s="274">
        <f>SUM(G210:G214)</f>
        <v>84374.586400000015</v>
      </c>
    </row>
    <row r="216" spans="1:7" x14ac:dyDescent="0.25">
      <c r="A216" s="704" t="s">
        <v>55</v>
      </c>
      <c r="B216" s="704"/>
      <c r="C216" s="704"/>
      <c r="D216" s="704"/>
      <c r="E216" s="704"/>
      <c r="F216" s="704"/>
    </row>
    <row r="217" spans="1:7" x14ac:dyDescent="0.25">
      <c r="D217" s="52">
        <f>D206</f>
        <v>0.3664</v>
      </c>
    </row>
    <row r="218" spans="1:7" x14ac:dyDescent="0.25">
      <c r="A218" s="646" t="s">
        <v>194</v>
      </c>
      <c r="B218" s="646" t="s">
        <v>11</v>
      </c>
      <c r="C218" s="324"/>
      <c r="D218" s="646" t="s">
        <v>48</v>
      </c>
      <c r="E218" s="646" t="s">
        <v>15</v>
      </c>
      <c r="F218" s="646" t="s">
        <v>25</v>
      </c>
      <c r="G218" s="682" t="s">
        <v>6</v>
      </c>
    </row>
    <row r="219" spans="1:7" hidden="1" x14ac:dyDescent="0.25">
      <c r="A219" s="646"/>
      <c r="B219" s="646"/>
      <c r="C219" s="324"/>
      <c r="D219" s="646"/>
      <c r="E219" s="646"/>
      <c r="F219" s="646"/>
      <c r="G219" s="683"/>
    </row>
    <row r="220" spans="1:7" x14ac:dyDescent="0.25">
      <c r="A220" s="324">
        <v>1</v>
      </c>
      <c r="B220" s="324">
        <v>2</v>
      </c>
      <c r="C220" s="324"/>
      <c r="D220" s="324">
        <v>3</v>
      </c>
      <c r="E220" s="324">
        <v>4</v>
      </c>
      <c r="F220" s="324">
        <v>5</v>
      </c>
      <c r="G220" s="59" t="s">
        <v>70</v>
      </c>
    </row>
    <row r="221" spans="1:7" hidden="1" x14ac:dyDescent="0.25">
      <c r="A221" s="122" t="s">
        <v>208</v>
      </c>
      <c r="B221" s="324" t="s">
        <v>122</v>
      </c>
      <c r="C221" s="324"/>
      <c r="D221" s="324">
        <v>0</v>
      </c>
      <c r="E221" s="324">
        <v>0</v>
      </c>
      <c r="F221" s="324">
        <v>1</v>
      </c>
      <c r="G221" s="59">
        <f>D221*E221</f>
        <v>0</v>
      </c>
    </row>
    <row r="222" spans="1:7" x14ac:dyDescent="0.25">
      <c r="A222" s="55" t="s">
        <v>178</v>
      </c>
      <c r="B222" s="324" t="s">
        <v>22</v>
      </c>
      <c r="C222" s="324"/>
      <c r="D222" s="324">
        <f>1*D217</f>
        <v>0.3664</v>
      </c>
      <c r="E222" s="327">
        <f>'патриотика0,3664'!E241</f>
        <v>55000</v>
      </c>
      <c r="F222" s="324">
        <v>1</v>
      </c>
      <c r="G222" s="59">
        <f>D222*E222*F222</f>
        <v>20152</v>
      </c>
    </row>
    <row r="223" spans="1:7" x14ac:dyDescent="0.25">
      <c r="A223" s="720" t="s">
        <v>56</v>
      </c>
      <c r="B223" s="721"/>
      <c r="C223" s="721"/>
      <c r="D223" s="721"/>
      <c r="E223" s="721"/>
      <c r="F223" s="722"/>
      <c r="G223" s="281">
        <f>SUM(G221:G222)</f>
        <v>20152</v>
      </c>
    </row>
    <row r="224" spans="1:7" x14ac:dyDescent="0.25">
      <c r="A224" s="704" t="s">
        <v>19</v>
      </c>
      <c r="B224" s="704"/>
      <c r="C224" s="704"/>
      <c r="D224" s="704"/>
      <c r="E224" s="704"/>
      <c r="F224" s="704"/>
    </row>
    <row r="225" spans="1:6" x14ac:dyDescent="0.25">
      <c r="A225" s="723" t="s">
        <v>20</v>
      </c>
      <c r="B225" s="723"/>
      <c r="C225" s="723"/>
      <c r="D225" s="723"/>
      <c r="E225" s="723"/>
      <c r="F225" s="723"/>
    </row>
    <row r="226" spans="1:6" x14ac:dyDescent="0.25">
      <c r="D226" s="52">
        <f>D217</f>
        <v>0.3664</v>
      </c>
    </row>
    <row r="227" spans="1:6" x14ac:dyDescent="0.25">
      <c r="A227" s="646" t="s">
        <v>21</v>
      </c>
      <c r="B227" s="646" t="s">
        <v>11</v>
      </c>
      <c r="C227" s="324"/>
      <c r="D227" s="646" t="s">
        <v>14</v>
      </c>
      <c r="E227" s="646" t="s">
        <v>15</v>
      </c>
      <c r="F227" s="646" t="s">
        <v>6</v>
      </c>
    </row>
    <row r="228" spans="1:6" x14ac:dyDescent="0.25">
      <c r="A228" s="646"/>
      <c r="B228" s="646"/>
      <c r="C228" s="324"/>
      <c r="D228" s="646"/>
      <c r="E228" s="646"/>
      <c r="F228" s="646"/>
    </row>
    <row r="229" spans="1:6" x14ac:dyDescent="0.25">
      <c r="A229" s="325">
        <v>1</v>
      </c>
      <c r="B229" s="325">
        <v>2</v>
      </c>
      <c r="C229" s="325"/>
      <c r="D229" s="325">
        <v>3</v>
      </c>
      <c r="E229" s="325">
        <v>7</v>
      </c>
      <c r="F229" s="325" t="s">
        <v>180</v>
      </c>
    </row>
    <row r="230" spans="1:6" x14ac:dyDescent="0.25">
      <c r="A230" s="440" t="str">
        <f>'патриотика0,3664'!A248</f>
        <v xml:space="preserve">Мониторинг систем пожарной сигнализации  </v>
      </c>
      <c r="B230" s="365" t="str">
        <f t="shared" ref="B230:B231" si="10">$B$222</f>
        <v>договор</v>
      </c>
      <c r="C230" s="366"/>
      <c r="D230" s="366">
        <f>'патриотика0,3664'!D248</f>
        <v>4.3967999999999998</v>
      </c>
      <c r="E230" s="366">
        <f>'патриотика0,3664'!E248</f>
        <v>2000</v>
      </c>
      <c r="F230" s="532">
        <f t="shared" ref="F230:F231" si="11">D230*E230</f>
        <v>8793.6</v>
      </c>
    </row>
    <row r="231" spans="1:6" x14ac:dyDescent="0.25">
      <c r="A231" s="440" t="str">
        <f>'патриотика0,3664'!A249</f>
        <v xml:space="preserve">Уборка территории от снега </v>
      </c>
      <c r="B231" s="365" t="str">
        <f t="shared" si="10"/>
        <v>договор</v>
      </c>
      <c r="C231" s="366"/>
      <c r="D231" s="485">
        <f>'патриотика0,3664'!D249</f>
        <v>0.73280000000000001</v>
      </c>
      <c r="E231" s="485">
        <f>'патриотика0,3664'!E249</f>
        <v>39000</v>
      </c>
      <c r="F231" s="532">
        <f t="shared" si="11"/>
        <v>28579.200000000001</v>
      </c>
    </row>
    <row r="232" spans="1:6" x14ac:dyDescent="0.25">
      <c r="A232" s="440" t="str">
        <f>'патриотика0,3664'!A250</f>
        <v>Профилактическая дезинфекция</v>
      </c>
      <c r="B232" s="315" t="str">
        <f>$B$222</f>
        <v>договор</v>
      </c>
      <c r="C232" s="315"/>
      <c r="D232" s="485">
        <f>'патриотика0,3664'!D250</f>
        <v>0.3664</v>
      </c>
      <c r="E232" s="485">
        <f>'патриотика0,3664'!E250</f>
        <v>6602.4</v>
      </c>
      <c r="F232" s="532">
        <f>D232*E232</f>
        <v>2419.1193599999997</v>
      </c>
    </row>
    <row r="233" spans="1:6" x14ac:dyDescent="0.25">
      <c r="A233" s="440" t="str">
        <f>'патриотика0,3664'!A251</f>
        <v>Обслуживание системы видеонаблюдения</v>
      </c>
      <c r="B233" s="315" t="str">
        <f t="shared" ref="B233:B251" si="12">$B$222</f>
        <v>договор</v>
      </c>
      <c r="C233" s="94"/>
      <c r="D233" s="485">
        <f>'патриотика0,3664'!D251</f>
        <v>4.3967999999999998</v>
      </c>
      <c r="E233" s="485">
        <f>'патриотика0,3664'!E251</f>
        <v>3000</v>
      </c>
      <c r="F233" s="532">
        <f t="shared" ref="F233:F262" si="13">D233*E233</f>
        <v>13190.4</v>
      </c>
    </row>
    <row r="234" spans="1:6" ht="30" x14ac:dyDescent="0.25">
      <c r="A234" s="440" t="str">
        <f>'патриотика0,3664'!A252</f>
        <v>Комплексное обслуживание системы тепловодоснабжения и конструктивных элементов здания</v>
      </c>
      <c r="B234" s="315" t="str">
        <f t="shared" si="12"/>
        <v>договор</v>
      </c>
      <c r="C234" s="94"/>
      <c r="D234" s="485">
        <f>'патриотика0,3664'!D252</f>
        <v>0.3664</v>
      </c>
      <c r="E234" s="485">
        <f>'патриотика0,3664'!E252</f>
        <v>70000</v>
      </c>
      <c r="F234" s="532">
        <f t="shared" si="13"/>
        <v>25648</v>
      </c>
    </row>
    <row r="235" spans="1:6" ht="30" customHeight="1" x14ac:dyDescent="0.25">
      <c r="A235" s="440" t="str">
        <f>'патриотика0,3664'!A253</f>
        <v>Договор осмотр технического состояния автомобиля</v>
      </c>
      <c r="B235" s="315" t="str">
        <f t="shared" si="12"/>
        <v>договор</v>
      </c>
      <c r="C235" s="94"/>
      <c r="D235" s="485">
        <f>'патриотика0,3664'!D253</f>
        <v>76.944000000000003</v>
      </c>
      <c r="E235" s="485">
        <f>'патриотика0,3664'!E253</f>
        <v>217.3</v>
      </c>
      <c r="F235" s="532">
        <f t="shared" si="13"/>
        <v>16719.931200000003</v>
      </c>
    </row>
    <row r="236" spans="1:6" x14ac:dyDescent="0.25">
      <c r="A236" s="440" t="str">
        <f>'патриотика0,3664'!A254</f>
        <v>Техническое обслуживание систем пожарной сигнализации</v>
      </c>
      <c r="B236" s="315" t="str">
        <f t="shared" si="12"/>
        <v>договор</v>
      </c>
      <c r="C236" s="94"/>
      <c r="D236" s="485">
        <f>'патриотика0,3664'!D254</f>
        <v>4.3967999999999998</v>
      </c>
      <c r="E236" s="485">
        <f>'патриотика0,3664'!E254</f>
        <v>1000</v>
      </c>
      <c r="F236" s="532">
        <f t="shared" si="13"/>
        <v>4396.8</v>
      </c>
    </row>
    <row r="237" spans="1:6" x14ac:dyDescent="0.25">
      <c r="A237" s="440" t="str">
        <f>'патриотика0,3664'!A255</f>
        <v>Заправка катриджей</v>
      </c>
      <c r="B237" s="315" t="str">
        <f t="shared" si="12"/>
        <v>договор</v>
      </c>
      <c r="C237" s="94"/>
      <c r="D237" s="485">
        <f>'патриотика0,3664'!D255</f>
        <v>3.6640000000000001</v>
      </c>
      <c r="E237" s="485">
        <f>'патриотика0,3664'!E255</f>
        <v>61.46</v>
      </c>
      <c r="F237" s="532">
        <f t="shared" si="13"/>
        <v>225.18944000000002</v>
      </c>
    </row>
    <row r="238" spans="1:6" x14ac:dyDescent="0.25">
      <c r="A238" s="440" t="str">
        <f>'патриотика0,3664'!A256</f>
        <v>Возмещение мед осмотра (112/212)</v>
      </c>
      <c r="B238" s="315" t="str">
        <f t="shared" si="12"/>
        <v>договор</v>
      </c>
      <c r="C238" s="94"/>
      <c r="D238" s="485">
        <f>'патриотика0,3664'!D256</f>
        <v>0.73280000000000001</v>
      </c>
      <c r="E238" s="485">
        <f>'патриотика0,3664'!E256</f>
        <v>5000</v>
      </c>
      <c r="F238" s="327">
        <f t="shared" si="13"/>
        <v>3664</v>
      </c>
    </row>
    <row r="239" spans="1:6" x14ac:dyDescent="0.25">
      <c r="A239" s="440" t="str">
        <f>'патриотика0,3664'!A257</f>
        <v>Услуги СЕМИС подписка</v>
      </c>
      <c r="B239" s="315" t="str">
        <f t="shared" si="12"/>
        <v>договор</v>
      </c>
      <c r="C239" s="258"/>
      <c r="D239" s="485">
        <f>'патриотика0,3664'!D257</f>
        <v>0.3664</v>
      </c>
      <c r="E239" s="485">
        <f>'патриотика0,3664'!E257</f>
        <v>850</v>
      </c>
      <c r="F239" s="327">
        <f t="shared" si="13"/>
        <v>311.44</v>
      </c>
    </row>
    <row r="240" spans="1:6" x14ac:dyDescent="0.25">
      <c r="A240" s="440" t="str">
        <f>'патриотика0,3664'!A258</f>
        <v>Работы по специальной оценке условий труда</v>
      </c>
      <c r="B240" s="315" t="str">
        <f t="shared" si="12"/>
        <v>договор</v>
      </c>
      <c r="C240" s="94"/>
      <c r="D240" s="485">
        <f>'патриотика0,3664'!D258</f>
        <v>0.3664</v>
      </c>
      <c r="E240" s="485">
        <f>'патриотика0,3664'!E258</f>
        <v>16800</v>
      </c>
      <c r="F240" s="327">
        <f t="shared" si="13"/>
        <v>6155.52</v>
      </c>
    </row>
    <row r="241" spans="1:6" x14ac:dyDescent="0.25">
      <c r="A241" s="440" t="str">
        <f>'патриотика0,3664'!A259</f>
        <v>Оценка профессиональных рисков охраны труда</v>
      </c>
      <c r="B241" s="315" t="str">
        <f t="shared" si="12"/>
        <v>договор</v>
      </c>
      <c r="C241" s="94"/>
      <c r="D241" s="485">
        <f>'патриотика0,3664'!D259</f>
        <v>0.3664</v>
      </c>
      <c r="E241" s="485">
        <f>'патриотика0,3664'!E259</f>
        <v>6600</v>
      </c>
      <c r="F241" s="327">
        <f t="shared" si="13"/>
        <v>2418.2400000000002</v>
      </c>
    </row>
    <row r="242" spans="1:6" x14ac:dyDescent="0.25">
      <c r="A242" s="440" t="str">
        <f>'патриотика0,3664'!A260</f>
        <v>Изготовление площадки на заднем дворе учреждения</v>
      </c>
      <c r="B242" s="315" t="str">
        <f t="shared" si="12"/>
        <v>договор</v>
      </c>
      <c r="C242" s="94"/>
      <c r="D242" s="485">
        <f>'патриотика0,3664'!D260</f>
        <v>0.3664</v>
      </c>
      <c r="E242" s="485">
        <f>'патриотика0,3664'!E260</f>
        <v>6600</v>
      </c>
      <c r="F242" s="327">
        <f t="shared" si="13"/>
        <v>2418.2400000000002</v>
      </c>
    </row>
    <row r="243" spans="1:6" x14ac:dyDescent="0.25">
      <c r="A243" s="440" t="str">
        <f>'патриотика0,3664'!A261</f>
        <v>Предрейсовое медицинское обследование 200дней*85руб</v>
      </c>
      <c r="B243" s="315" t="str">
        <f t="shared" si="12"/>
        <v>договор</v>
      </c>
      <c r="C243" s="94"/>
      <c r="D243" s="485">
        <f>'патриотика0,3664'!D261</f>
        <v>153.88800000000001</v>
      </c>
      <c r="E243" s="485">
        <f>'патриотика0,3664'!E261</f>
        <v>85</v>
      </c>
      <c r="F243" s="327">
        <f t="shared" si="13"/>
        <v>13080.48</v>
      </c>
    </row>
    <row r="244" spans="1:6" x14ac:dyDescent="0.25">
      <c r="A244" s="440" t="str">
        <f>'патриотика0,3664'!A262</f>
        <v xml:space="preserve">Услуги охраны  </v>
      </c>
      <c r="B244" s="315" t="str">
        <f t="shared" si="12"/>
        <v>договор</v>
      </c>
      <c r="C244" s="94"/>
      <c r="D244" s="485">
        <f>'патриотика0,3664'!D262</f>
        <v>4.3967999999999998</v>
      </c>
      <c r="E244" s="485">
        <f>'патриотика0,3664'!E262</f>
        <v>8000</v>
      </c>
      <c r="F244" s="327">
        <f t="shared" si="13"/>
        <v>35174.400000000001</v>
      </c>
    </row>
    <row r="245" spans="1:6" ht="30" x14ac:dyDescent="0.25">
      <c r="A245" s="440" t="str">
        <f>'патриотика0,3664'!A263</f>
        <v>Обслуживание систем охранных средств сигнализации (тревожная кнопка)</v>
      </c>
      <c r="B245" s="315" t="str">
        <f t="shared" si="12"/>
        <v>договор</v>
      </c>
      <c r="C245" s="259"/>
      <c r="D245" s="485">
        <f>'патриотика0,3664'!D263</f>
        <v>4.3967999999999998</v>
      </c>
      <c r="E245" s="485">
        <f>'патриотика0,3664'!E263</f>
        <v>5000</v>
      </c>
      <c r="F245" s="327">
        <f t="shared" si="13"/>
        <v>21984</v>
      </c>
    </row>
    <row r="246" spans="1:6" x14ac:dyDescent="0.25">
      <c r="A246" s="440" t="str">
        <f>'патриотика0,3664'!A264</f>
        <v>Медосмотр при устройстве на работу</v>
      </c>
      <c r="B246" s="315" t="str">
        <f t="shared" si="12"/>
        <v>договор</v>
      </c>
      <c r="C246" s="259"/>
      <c r="D246" s="485">
        <f>'патриотика0,3664'!D264</f>
        <v>1.4656</v>
      </c>
      <c r="E246" s="485">
        <f>'патриотика0,3664'!E264</f>
        <v>3800</v>
      </c>
      <c r="F246" s="327">
        <f t="shared" si="13"/>
        <v>5569.28</v>
      </c>
    </row>
    <row r="247" spans="1:6" x14ac:dyDescent="0.25">
      <c r="A247" s="440" t="str">
        <f>'патриотика0,3664'!A265</f>
        <v>Страховая премия по полису ОСАГО за УАЗ</v>
      </c>
      <c r="B247" s="315" t="str">
        <f t="shared" si="12"/>
        <v>договор</v>
      </c>
      <c r="C247" s="259"/>
      <c r="D247" s="485">
        <f>'патриотика0,3664'!D265</f>
        <v>0.3664</v>
      </c>
      <c r="E247" s="485">
        <f>'патриотика0,3664'!E265</f>
        <v>5500</v>
      </c>
      <c r="F247" s="327">
        <f t="shared" si="13"/>
        <v>2015.2</v>
      </c>
    </row>
    <row r="248" spans="1:6" ht="30" x14ac:dyDescent="0.25">
      <c r="A248" s="440" t="str">
        <f>'патриотика0,3664'!A266</f>
        <v>Диагностика бытовой и оргтехники для определения возможности ее дальнейшего использования (244/226)</v>
      </c>
      <c r="B248" s="315" t="str">
        <f t="shared" si="12"/>
        <v>договор</v>
      </c>
      <c r="C248" s="259"/>
      <c r="D248" s="485">
        <f>'патриотика0,3664'!D266</f>
        <v>0.3664</v>
      </c>
      <c r="E248" s="485">
        <f>'патриотика0,3664'!E266</f>
        <v>15765</v>
      </c>
      <c r="F248" s="327">
        <f t="shared" si="13"/>
        <v>5776.2960000000003</v>
      </c>
    </row>
    <row r="249" spans="1:6" x14ac:dyDescent="0.25">
      <c r="A249" s="440" t="str">
        <f>'патриотика0,3664'!A267</f>
        <v>Изготовление снежных фигур</v>
      </c>
      <c r="B249" s="315" t="str">
        <f t="shared" si="12"/>
        <v>договор</v>
      </c>
      <c r="C249" s="259"/>
      <c r="D249" s="485">
        <f>'патриотика0,3664'!D267</f>
        <v>0.3664</v>
      </c>
      <c r="E249" s="485">
        <f>'патриотика0,3664'!E267</f>
        <v>14000</v>
      </c>
      <c r="F249" s="486">
        <f t="shared" si="13"/>
        <v>5129.6000000000004</v>
      </c>
    </row>
    <row r="250" spans="1:6" x14ac:dyDescent="0.25">
      <c r="A250" s="440" t="str">
        <f>'патриотика0,3664'!A268</f>
        <v>Приобретение программного обеспечения</v>
      </c>
      <c r="B250" s="315" t="str">
        <f t="shared" si="12"/>
        <v>договор</v>
      </c>
      <c r="C250" s="259"/>
      <c r="D250" s="485">
        <f>'патриотика0,3664'!D268</f>
        <v>0.73280000000000001</v>
      </c>
      <c r="E250" s="485">
        <f>'патриотика0,3664'!E268</f>
        <v>8267.5</v>
      </c>
      <c r="F250" s="486">
        <f t="shared" si="13"/>
        <v>6058.424</v>
      </c>
    </row>
    <row r="251" spans="1:6" x14ac:dyDescent="0.25">
      <c r="A251" s="440" t="str">
        <f>'патриотика0,3664'!A269</f>
        <v>Оплата пени, штрафов (853/291)</v>
      </c>
      <c r="B251" s="315" t="str">
        <f t="shared" si="12"/>
        <v>договор</v>
      </c>
      <c r="C251" s="259"/>
      <c r="D251" s="494">
        <f>'патриотика0,3664'!D269</f>
        <v>1.8320000000000001</v>
      </c>
      <c r="E251" s="494">
        <f>'патриотика0,3664'!E269</f>
        <v>90</v>
      </c>
      <c r="F251" s="493">
        <f t="shared" ref="F251" si="14">D251*E251</f>
        <v>164.88</v>
      </c>
    </row>
    <row r="252" spans="1:6" hidden="1" x14ac:dyDescent="0.25">
      <c r="A252" s="421"/>
      <c r="B252" s="347"/>
      <c r="C252" s="422"/>
      <c r="D252" s="347"/>
      <c r="E252" s="423">
        <v>9600</v>
      </c>
      <c r="F252" s="239">
        <f t="shared" si="13"/>
        <v>0</v>
      </c>
    </row>
    <row r="253" spans="1:6" hidden="1" x14ac:dyDescent="0.25">
      <c r="A253" s="257"/>
      <c r="B253" s="315"/>
      <c r="C253" s="259"/>
      <c r="D253" s="315"/>
      <c r="E253" s="260">
        <v>9500</v>
      </c>
      <c r="F253" s="327">
        <f t="shared" si="13"/>
        <v>0</v>
      </c>
    </row>
    <row r="254" spans="1:6" hidden="1" x14ac:dyDescent="0.25">
      <c r="A254" s="257"/>
      <c r="B254" s="315"/>
      <c r="C254" s="259"/>
      <c r="D254" s="315"/>
      <c r="E254" s="260">
        <v>5000</v>
      </c>
      <c r="F254" s="327">
        <f t="shared" si="13"/>
        <v>0</v>
      </c>
    </row>
    <row r="255" spans="1:6" hidden="1" x14ac:dyDescent="0.25">
      <c r="A255" s="257"/>
      <c r="B255" s="315"/>
      <c r="C255" s="259"/>
      <c r="D255" s="315"/>
      <c r="E255" s="260">
        <v>15000</v>
      </c>
      <c r="F255" s="327">
        <f t="shared" si="13"/>
        <v>0</v>
      </c>
    </row>
    <row r="256" spans="1:6" hidden="1" x14ac:dyDescent="0.25">
      <c r="A256" s="93"/>
      <c r="B256" s="315"/>
      <c r="C256" s="94"/>
      <c r="D256" s="315"/>
      <c r="E256" s="347">
        <v>2000</v>
      </c>
      <c r="F256" s="327">
        <f t="shared" si="13"/>
        <v>0</v>
      </c>
    </row>
    <row r="257" spans="1:7" hidden="1" x14ac:dyDescent="0.25">
      <c r="A257" s="93"/>
      <c r="B257" s="315"/>
      <c r="C257" s="94"/>
      <c r="D257" s="315"/>
      <c r="E257" s="347">
        <v>2000</v>
      </c>
      <c r="F257" s="327">
        <f t="shared" si="13"/>
        <v>0</v>
      </c>
    </row>
    <row r="258" spans="1:7" hidden="1" x14ac:dyDescent="0.25">
      <c r="A258" s="93"/>
      <c r="B258" s="315"/>
      <c r="C258" s="94"/>
      <c r="D258" s="315"/>
      <c r="E258" s="347">
        <v>2000</v>
      </c>
      <c r="F258" s="327">
        <f t="shared" si="13"/>
        <v>0</v>
      </c>
    </row>
    <row r="259" spans="1:7" hidden="1" x14ac:dyDescent="0.25">
      <c r="A259" s="93"/>
      <c r="B259" s="315"/>
      <c r="C259" s="94"/>
      <c r="D259" s="315"/>
      <c r="E259" s="347">
        <v>2000</v>
      </c>
      <c r="F259" s="327">
        <f t="shared" si="13"/>
        <v>0</v>
      </c>
    </row>
    <row r="260" spans="1:7" hidden="1" x14ac:dyDescent="0.25">
      <c r="A260" s="93"/>
      <c r="B260" s="315"/>
      <c r="C260" s="94"/>
      <c r="D260" s="315"/>
      <c r="E260" s="347">
        <v>2000</v>
      </c>
      <c r="F260" s="327">
        <f t="shared" si="13"/>
        <v>0</v>
      </c>
    </row>
    <row r="261" spans="1:7" hidden="1" x14ac:dyDescent="0.25">
      <c r="A261" s="93"/>
      <c r="B261" s="315"/>
      <c r="C261" s="94"/>
      <c r="D261" s="315"/>
      <c r="E261" s="347">
        <v>2500</v>
      </c>
      <c r="F261" s="327">
        <f t="shared" si="13"/>
        <v>0</v>
      </c>
    </row>
    <row r="262" spans="1:7" hidden="1" x14ac:dyDescent="0.25">
      <c r="A262" s="93"/>
      <c r="B262" s="315"/>
      <c r="C262" s="94"/>
      <c r="D262" s="315"/>
      <c r="E262" s="315">
        <v>7500</v>
      </c>
      <c r="F262" s="327">
        <f t="shared" si="13"/>
        <v>0</v>
      </c>
    </row>
    <row r="263" spans="1:7" x14ac:dyDescent="0.25">
      <c r="A263" s="713" t="s">
        <v>23</v>
      </c>
      <c r="B263" s="714"/>
      <c r="C263" s="714"/>
      <c r="D263" s="714"/>
      <c r="E263" s="715"/>
      <c r="F263" s="282">
        <f>SUM(F230:F262)</f>
        <v>209892.24000000005</v>
      </c>
    </row>
    <row r="264" spans="1:7" x14ac:dyDescent="0.25">
      <c r="A264" s="716" t="s">
        <v>29</v>
      </c>
      <c r="B264" s="717"/>
      <c r="C264" s="717"/>
      <c r="D264" s="717"/>
      <c r="E264" s="717"/>
      <c r="F264" s="718"/>
    </row>
    <row r="265" spans="1:7" x14ac:dyDescent="0.25">
      <c r="A265" s="412">
        <f>D226</f>
        <v>0.3664</v>
      </c>
      <c r="B265" s="413"/>
      <c r="C265" s="413"/>
      <c r="D265" s="413"/>
      <c r="E265" s="413"/>
      <c r="F265" s="414"/>
    </row>
    <row r="266" spans="1:7" x14ac:dyDescent="0.25">
      <c r="A266" s="719" t="s">
        <v>30</v>
      </c>
      <c r="B266" s="719" t="s">
        <v>11</v>
      </c>
      <c r="C266" s="336"/>
      <c r="D266" s="719" t="s">
        <v>14</v>
      </c>
      <c r="E266" s="719" t="s">
        <v>15</v>
      </c>
      <c r="F266" s="719" t="s">
        <v>6</v>
      </c>
    </row>
    <row r="267" spans="1:7" x14ac:dyDescent="0.25">
      <c r="A267" s="719"/>
      <c r="B267" s="719"/>
      <c r="C267" s="336"/>
      <c r="D267" s="719"/>
      <c r="E267" s="719"/>
      <c r="F267" s="719"/>
    </row>
    <row r="268" spans="1:7" x14ac:dyDescent="0.25">
      <c r="A268" s="336">
        <v>1</v>
      </c>
      <c r="B268" s="336">
        <v>2</v>
      </c>
      <c r="C268" s="336"/>
      <c r="D268" s="336">
        <v>3</v>
      </c>
      <c r="E268" s="336">
        <v>4</v>
      </c>
      <c r="F268" s="336" t="s">
        <v>109</v>
      </c>
    </row>
    <row r="269" spans="1:7" x14ac:dyDescent="0.25">
      <c r="A269" s="491" t="str">
        <f>'патриотика0,3664'!A287</f>
        <v>Обучение персонала</v>
      </c>
      <c r="B269" s="361" t="s">
        <v>22</v>
      </c>
      <c r="C269" s="361"/>
      <c r="D269" s="361">
        <f>'патриотика0,3664'!D287</f>
        <v>0.73280000000000001</v>
      </c>
      <c r="E269" s="361">
        <f>'патриотика0,3664'!E287</f>
        <v>5000</v>
      </c>
      <c r="F269" s="211">
        <f t="shared" ref="F269:F270" si="15">D269*E269</f>
        <v>3664</v>
      </c>
    </row>
    <row r="270" spans="1:7" x14ac:dyDescent="0.25">
      <c r="A270" s="491" t="str">
        <f>'патриотика0,3664'!A288</f>
        <v>Переподготовка</v>
      </c>
      <c r="B270" s="361" t="s">
        <v>22</v>
      </c>
      <c r="C270" s="361"/>
      <c r="D270" s="483">
        <f>'патриотика0,3664'!D288</f>
        <v>1.0992</v>
      </c>
      <c r="E270" s="483">
        <f>'патриотика0,3664'!E288</f>
        <v>20000</v>
      </c>
      <c r="F270" s="211">
        <f t="shared" si="15"/>
        <v>21984</v>
      </c>
    </row>
    <row r="271" spans="1:7" x14ac:dyDescent="0.25">
      <c r="A271" s="491" t="str">
        <f>'патриотика0,3664'!A289</f>
        <v>Пиломатериал</v>
      </c>
      <c r="B271" s="212" t="s">
        <v>84</v>
      </c>
      <c r="C271" s="209"/>
      <c r="D271" s="483">
        <f>'патриотика0,3664'!D289</f>
        <v>2.5648</v>
      </c>
      <c r="E271" s="483">
        <f>'патриотика0,3664'!E289</f>
        <v>17285.71</v>
      </c>
      <c r="F271" s="211">
        <f>D271*E271</f>
        <v>44334.389007999998</v>
      </c>
      <c r="G271" s="424"/>
    </row>
    <row r="272" spans="1:7" x14ac:dyDescent="0.25">
      <c r="A272" s="491" t="str">
        <f>'патриотика0,3664'!A290</f>
        <v>Тонеры для картриджей Kyocera</v>
      </c>
      <c r="B272" s="212" t="s">
        <v>84</v>
      </c>
      <c r="C272" s="209"/>
      <c r="D272" s="483">
        <f>'патриотика0,3664'!D290</f>
        <v>1.8320000000000001</v>
      </c>
      <c r="E272" s="483">
        <f>'патриотика0,3664'!E290</f>
        <v>1500</v>
      </c>
      <c r="F272" s="211">
        <f>D272*E272</f>
        <v>2748</v>
      </c>
      <c r="G272" s="424"/>
    </row>
    <row r="273" spans="1:7" ht="15" customHeight="1" x14ac:dyDescent="0.25">
      <c r="A273" s="491" t="str">
        <f>'патриотика0,3664'!A291</f>
        <v>Комплект тонеров для цветного принтера Canon</v>
      </c>
      <c r="B273" s="212" t="s">
        <v>84</v>
      </c>
      <c r="C273" s="209"/>
      <c r="D273" s="483">
        <f>'патриотика0,3664'!D291</f>
        <v>1.8320000000000001</v>
      </c>
      <c r="E273" s="483">
        <f>'патриотика0,3664'!E291</f>
        <v>4500</v>
      </c>
      <c r="F273" s="211">
        <f t="shared" ref="F273:F313" si="16">D273*E273</f>
        <v>8244</v>
      </c>
      <c r="G273" s="424"/>
    </row>
    <row r="274" spans="1:7" ht="15" customHeight="1" x14ac:dyDescent="0.25">
      <c r="A274" s="491" t="str">
        <f>'патриотика0,3664'!A292</f>
        <v>Комплект тонера для цветного принтера Hp</v>
      </c>
      <c r="B274" s="212" t="s">
        <v>84</v>
      </c>
      <c r="C274" s="209"/>
      <c r="D274" s="483">
        <f>'патриотика0,3664'!D292</f>
        <v>0.73280000000000001</v>
      </c>
      <c r="E274" s="483">
        <f>'патриотика0,3664'!E292</f>
        <v>13000</v>
      </c>
      <c r="F274" s="211">
        <f t="shared" si="16"/>
        <v>9526.4</v>
      </c>
      <c r="G274" s="424"/>
    </row>
    <row r="275" spans="1:7" ht="15" customHeight="1" x14ac:dyDescent="0.25">
      <c r="A275" s="491" t="str">
        <f>'патриотика0,3664'!A293</f>
        <v>Флеш накопители  16 гб</v>
      </c>
      <c r="B275" s="212" t="s">
        <v>84</v>
      </c>
      <c r="C275" s="209"/>
      <c r="D275" s="483">
        <f>'патриотика0,3664'!D293</f>
        <v>2.5648</v>
      </c>
      <c r="E275" s="483">
        <f>'патриотика0,3664'!E293</f>
        <v>1000</v>
      </c>
      <c r="F275" s="211">
        <f t="shared" si="16"/>
        <v>2564.8000000000002</v>
      </c>
      <c r="G275" s="424"/>
    </row>
    <row r="276" spans="1:7" x14ac:dyDescent="0.25">
      <c r="A276" s="491" t="str">
        <f>'патриотика0,3664'!A294</f>
        <v>Флеш накопители  64 гб</v>
      </c>
      <c r="B276" s="212" t="s">
        <v>84</v>
      </c>
      <c r="C276" s="209"/>
      <c r="D276" s="483">
        <f>'патриотика0,3664'!D294</f>
        <v>1.8320000000000001</v>
      </c>
      <c r="E276" s="483">
        <f>'патриотика0,3664'!E294</f>
        <v>2100</v>
      </c>
      <c r="F276" s="211">
        <f t="shared" si="16"/>
        <v>3847.2000000000003</v>
      </c>
      <c r="G276" s="424"/>
    </row>
    <row r="277" spans="1:7" x14ac:dyDescent="0.25">
      <c r="A277" s="491" t="str">
        <f>'патриотика0,3664'!A295</f>
        <v>Мышь USB</v>
      </c>
      <c r="B277" s="212" t="s">
        <v>84</v>
      </c>
      <c r="C277" s="209"/>
      <c r="D277" s="483">
        <f>'патриотика0,3664'!D295</f>
        <v>1.4656</v>
      </c>
      <c r="E277" s="483">
        <f>'патриотика0,3664'!E295</f>
        <v>500</v>
      </c>
      <c r="F277" s="211">
        <f t="shared" si="16"/>
        <v>732.8</v>
      </c>
      <c r="G277" s="424"/>
    </row>
    <row r="278" spans="1:7" x14ac:dyDescent="0.25">
      <c r="A278" s="491" t="str">
        <f>'патриотика0,3664'!A296</f>
        <v xml:space="preserve">Мешки для мусора </v>
      </c>
      <c r="B278" s="212" t="s">
        <v>84</v>
      </c>
      <c r="C278" s="209"/>
      <c r="D278" s="483">
        <f>'патриотика0,3664'!D296</f>
        <v>36.64</v>
      </c>
      <c r="E278" s="483">
        <f>'патриотика0,3664'!E296</f>
        <v>100</v>
      </c>
      <c r="F278" s="211">
        <f t="shared" si="16"/>
        <v>3664</v>
      </c>
      <c r="G278" s="424"/>
    </row>
    <row r="279" spans="1:7" x14ac:dyDescent="0.25">
      <c r="A279" s="491" t="str">
        <f>'патриотика0,3664'!A297</f>
        <v>Жидкое мыло</v>
      </c>
      <c r="B279" s="212" t="s">
        <v>84</v>
      </c>
      <c r="C279" s="209"/>
      <c r="D279" s="483">
        <f>'патриотика0,3664'!D297</f>
        <v>5.4960000000000004</v>
      </c>
      <c r="E279" s="483">
        <f>'патриотика0,3664'!E297</f>
        <v>250</v>
      </c>
      <c r="F279" s="211">
        <f t="shared" si="16"/>
        <v>1374</v>
      </c>
      <c r="G279" s="424"/>
    </row>
    <row r="280" spans="1:7" ht="15" customHeight="1" x14ac:dyDescent="0.25">
      <c r="A280" s="491" t="str">
        <f>'патриотика0,3664'!A298</f>
        <v>Туалетная бумага</v>
      </c>
      <c r="B280" s="212" t="s">
        <v>84</v>
      </c>
      <c r="C280" s="209"/>
      <c r="D280" s="483">
        <f>'патриотика0,3664'!D298</f>
        <v>36.64</v>
      </c>
      <c r="E280" s="483">
        <f>'патриотика0,3664'!E298</f>
        <v>25</v>
      </c>
      <c r="F280" s="211">
        <f t="shared" si="16"/>
        <v>916</v>
      </c>
      <c r="G280" s="424"/>
    </row>
    <row r="281" spans="1:7" ht="15" customHeight="1" x14ac:dyDescent="0.25">
      <c r="A281" s="491" t="str">
        <f>'патриотика0,3664'!A299</f>
        <v>Тряпки для мытья</v>
      </c>
      <c r="B281" s="212" t="s">
        <v>84</v>
      </c>
      <c r="C281" s="209"/>
      <c r="D281" s="483">
        <f>'патриотика0,3664'!D299</f>
        <v>14.656000000000001</v>
      </c>
      <c r="E281" s="483">
        <f>'патриотика0,3664'!E299</f>
        <v>40</v>
      </c>
      <c r="F281" s="211">
        <f t="shared" si="16"/>
        <v>586.24</v>
      </c>
      <c r="G281" s="424"/>
    </row>
    <row r="282" spans="1:7" ht="15" customHeight="1" x14ac:dyDescent="0.25">
      <c r="A282" s="491" t="str">
        <f>'патриотика0,3664'!A300</f>
        <v>Бытовая химия</v>
      </c>
      <c r="B282" s="212" t="s">
        <v>84</v>
      </c>
      <c r="C282" s="209"/>
      <c r="D282" s="483">
        <f>'патриотика0,3664'!D300</f>
        <v>7.3280000000000003</v>
      </c>
      <c r="E282" s="483">
        <f>'патриотика0,3664'!E300</f>
        <v>1000</v>
      </c>
      <c r="F282" s="211">
        <f t="shared" si="16"/>
        <v>7328</v>
      </c>
      <c r="G282" s="424"/>
    </row>
    <row r="283" spans="1:7" ht="15" customHeight="1" x14ac:dyDescent="0.25">
      <c r="A283" s="491" t="str">
        <f>'патриотика0,3664'!A301</f>
        <v>Фанера</v>
      </c>
      <c r="B283" s="212" t="s">
        <v>84</v>
      </c>
      <c r="C283" s="209"/>
      <c r="D283" s="483">
        <f>'патриотика0,3664'!D301</f>
        <v>10.992000000000001</v>
      </c>
      <c r="E283" s="483">
        <f>'патриотика0,3664'!E301</f>
        <v>1300</v>
      </c>
      <c r="F283" s="211">
        <f t="shared" si="16"/>
        <v>14289.6</v>
      </c>
      <c r="G283" s="424"/>
    </row>
    <row r="284" spans="1:7" ht="15" customHeight="1" x14ac:dyDescent="0.25">
      <c r="A284" s="491" t="str">
        <f>'патриотика0,3664'!A302</f>
        <v>Антифриз</v>
      </c>
      <c r="B284" s="212" t="s">
        <v>84</v>
      </c>
      <c r="C284" s="209"/>
      <c r="D284" s="483">
        <f>'патриотика0,3664'!D302</f>
        <v>7.3280000000000003</v>
      </c>
      <c r="E284" s="483">
        <f>'патриотика0,3664'!E302</f>
        <v>300</v>
      </c>
      <c r="F284" s="211">
        <f t="shared" si="16"/>
        <v>2198.4</v>
      </c>
      <c r="G284" s="424"/>
    </row>
    <row r="285" spans="1:7" ht="15" customHeight="1" x14ac:dyDescent="0.25">
      <c r="A285" s="491" t="str">
        <f>'патриотика0,3664'!A303</f>
        <v>Баннера</v>
      </c>
      <c r="B285" s="212" t="s">
        <v>84</v>
      </c>
      <c r="C285" s="315"/>
      <c r="D285" s="483">
        <f>'патриотика0,3664'!D303</f>
        <v>1.8320000000000001</v>
      </c>
      <c r="E285" s="483">
        <f>'патриотика0,3664'!E303</f>
        <v>3500</v>
      </c>
      <c r="F285" s="211">
        <f t="shared" si="16"/>
        <v>6412</v>
      </c>
      <c r="G285" s="424"/>
    </row>
    <row r="286" spans="1:7" ht="15" customHeight="1" x14ac:dyDescent="0.25">
      <c r="A286" s="491" t="str">
        <f>'патриотика0,3664'!A304</f>
        <v>Гвозди</v>
      </c>
      <c r="B286" s="212" t="s">
        <v>84</v>
      </c>
      <c r="C286" s="315"/>
      <c r="D286" s="483">
        <f>'патриотика0,3664'!D304</f>
        <v>7.3280000000000003</v>
      </c>
      <c r="E286" s="483">
        <f>'патриотика0,3664'!E304</f>
        <v>811</v>
      </c>
      <c r="F286" s="211">
        <f t="shared" si="16"/>
        <v>5943.0079999999998</v>
      </c>
      <c r="G286" s="424"/>
    </row>
    <row r="287" spans="1:7" ht="15" customHeight="1" x14ac:dyDescent="0.25">
      <c r="A287" s="491" t="str">
        <f>'патриотика0,3664'!A305</f>
        <v>Саморезы</v>
      </c>
      <c r="B287" s="212" t="s">
        <v>84</v>
      </c>
      <c r="C287" s="315"/>
      <c r="D287" s="483">
        <f>'патриотика0,3664'!D305</f>
        <v>18.32</v>
      </c>
      <c r="E287" s="483">
        <f>'патриотика0,3664'!E305</f>
        <v>100</v>
      </c>
      <c r="F287" s="211">
        <f t="shared" si="16"/>
        <v>1832</v>
      </c>
      <c r="G287" s="424"/>
    </row>
    <row r="288" spans="1:7" ht="15" customHeight="1" x14ac:dyDescent="0.25">
      <c r="A288" s="491" t="str">
        <f>'патриотика0,3664'!A306</f>
        <v>Инструмент металлический ручной</v>
      </c>
      <c r="B288" s="212" t="s">
        <v>84</v>
      </c>
      <c r="C288" s="315"/>
      <c r="D288" s="483">
        <f>'патриотика0,3664'!D306</f>
        <v>1.8320000000000001</v>
      </c>
      <c r="E288" s="483">
        <f>'патриотика0,3664'!E306</f>
        <v>301</v>
      </c>
      <c r="F288" s="211">
        <f t="shared" si="16"/>
        <v>551.43200000000002</v>
      </c>
      <c r="G288" s="424"/>
    </row>
    <row r="289" spans="1:7" ht="15" customHeight="1" x14ac:dyDescent="0.25">
      <c r="A289" s="491" t="str">
        <f>'патриотика0,3664'!A307</f>
        <v>Краска эмаль</v>
      </c>
      <c r="B289" s="212" t="s">
        <v>84</v>
      </c>
      <c r="C289" s="315"/>
      <c r="D289" s="483">
        <f>'патриотика0,3664'!D307</f>
        <v>10.992000000000001</v>
      </c>
      <c r="E289" s="483">
        <f>'патриотика0,3664'!E307</f>
        <v>250</v>
      </c>
      <c r="F289" s="211">
        <f t="shared" si="16"/>
        <v>2748</v>
      </c>
      <c r="G289" s="424"/>
    </row>
    <row r="290" spans="1:7" ht="15" customHeight="1" x14ac:dyDescent="0.25">
      <c r="A290" s="491" t="str">
        <f>'патриотика0,3664'!A308</f>
        <v>Краска ВДН</v>
      </c>
      <c r="B290" s="212" t="s">
        <v>84</v>
      </c>
      <c r="C290" s="315"/>
      <c r="D290" s="483">
        <f>'патриотика0,3664'!D308</f>
        <v>3.6640000000000001</v>
      </c>
      <c r="E290" s="483">
        <f>'патриотика0,3664'!E308</f>
        <v>401</v>
      </c>
      <c r="F290" s="211">
        <f t="shared" si="16"/>
        <v>1469.2640000000001</v>
      </c>
      <c r="G290" s="424"/>
    </row>
    <row r="291" spans="1:7" ht="15" customHeight="1" x14ac:dyDescent="0.25">
      <c r="A291" s="491" t="str">
        <f>'патриотика0,3664'!A309</f>
        <v>Кисти</v>
      </c>
      <c r="B291" s="212" t="s">
        <v>84</v>
      </c>
      <c r="C291" s="315"/>
      <c r="D291" s="483">
        <f>'патриотика0,3664'!D309</f>
        <v>14.656000000000001</v>
      </c>
      <c r="E291" s="483">
        <f>'патриотика0,3664'!E309</f>
        <v>50</v>
      </c>
      <c r="F291" s="211">
        <f t="shared" si="16"/>
        <v>732.80000000000007</v>
      </c>
      <c r="G291" s="424"/>
    </row>
    <row r="292" spans="1:7" ht="15" customHeight="1" x14ac:dyDescent="0.25">
      <c r="A292" s="491" t="str">
        <f>'патриотика0,3664'!A310</f>
        <v>Перчатка пвх</v>
      </c>
      <c r="B292" s="212" t="s">
        <v>84</v>
      </c>
      <c r="C292" s="315"/>
      <c r="D292" s="483">
        <f>'патриотика0,3664'!D310</f>
        <v>36.64</v>
      </c>
      <c r="E292" s="483">
        <f>'патриотика0,3664'!E310</f>
        <v>30</v>
      </c>
      <c r="F292" s="211">
        <f t="shared" si="16"/>
        <v>1099.2</v>
      </c>
      <c r="G292" s="424"/>
    </row>
    <row r="293" spans="1:7" ht="15" customHeight="1" x14ac:dyDescent="0.25">
      <c r="A293" s="491" t="str">
        <f>'патриотика0,3664'!A311</f>
        <v>краска кудо</v>
      </c>
      <c r="B293" s="212" t="s">
        <v>84</v>
      </c>
      <c r="C293" s="315"/>
      <c r="D293" s="483">
        <f>'патриотика0,3664'!D311</f>
        <v>10.992000000000001</v>
      </c>
      <c r="E293" s="483">
        <f>'патриотика0,3664'!E311</f>
        <v>300</v>
      </c>
      <c r="F293" s="211">
        <f t="shared" si="16"/>
        <v>3297.6000000000004</v>
      </c>
      <c r="G293" s="424"/>
    </row>
    <row r="294" spans="1:7" ht="15" customHeight="1" x14ac:dyDescent="0.25">
      <c r="A294" s="491" t="str">
        <f>'патриотика0,3664'!A312</f>
        <v>Валик+ванночка</v>
      </c>
      <c r="B294" s="212" t="s">
        <v>84</v>
      </c>
      <c r="C294" s="315"/>
      <c r="D294" s="483">
        <f>'патриотика0,3664'!D312</f>
        <v>3.6640000000000001</v>
      </c>
      <c r="E294" s="483">
        <f>'патриотика0,3664'!E312</f>
        <v>210</v>
      </c>
      <c r="F294" s="211">
        <f t="shared" si="16"/>
        <v>769.44</v>
      </c>
      <c r="G294" s="424"/>
    </row>
    <row r="295" spans="1:7" ht="15" customHeight="1" x14ac:dyDescent="0.25">
      <c r="A295" s="491" t="str">
        <f>'патриотика0,3664'!A313</f>
        <v>Ножницыы</v>
      </c>
      <c r="B295" s="212" t="s">
        <v>84</v>
      </c>
      <c r="C295" s="209"/>
      <c r="D295" s="483">
        <f>'патриотика0,3664'!D313</f>
        <v>3.6640000000000001</v>
      </c>
      <c r="E295" s="483">
        <f>'патриотика0,3664'!E313</f>
        <v>150</v>
      </c>
      <c r="F295" s="211">
        <f t="shared" si="16"/>
        <v>549.6</v>
      </c>
      <c r="G295" s="424"/>
    </row>
    <row r="296" spans="1:7" ht="15" customHeight="1" x14ac:dyDescent="0.25">
      <c r="A296" s="491" t="str">
        <f>'патриотика0,3664'!A314</f>
        <v>Канцелярские расходники</v>
      </c>
      <c r="B296" s="212" t="s">
        <v>84</v>
      </c>
      <c r="C296" s="209"/>
      <c r="D296" s="483">
        <f>'патриотика0,3664'!D314</f>
        <v>36.64</v>
      </c>
      <c r="E296" s="483">
        <f>'патриотика0,3664'!E314</f>
        <v>50</v>
      </c>
      <c r="F296" s="211">
        <f t="shared" si="16"/>
        <v>1832</v>
      </c>
      <c r="G296" s="424"/>
    </row>
    <row r="297" spans="1:7" x14ac:dyDescent="0.25">
      <c r="A297" s="491" t="str">
        <f>'патриотика0,3664'!A315</f>
        <v>Канцелярия (ручки, карандаши)</v>
      </c>
      <c r="B297" s="212" t="s">
        <v>84</v>
      </c>
      <c r="C297" s="209"/>
      <c r="D297" s="483">
        <f>'патриотика0,3664'!D315</f>
        <v>36.64</v>
      </c>
      <c r="E297" s="483">
        <f>'патриотика0,3664'!E315</f>
        <v>30</v>
      </c>
      <c r="F297" s="211">
        <f t="shared" si="16"/>
        <v>1099.2</v>
      </c>
      <c r="G297" s="424"/>
    </row>
    <row r="298" spans="1:7" x14ac:dyDescent="0.25">
      <c r="A298" s="491" t="str">
        <f>'патриотика0,3664'!A316</f>
        <v>Офисные принадлежности (папки, скоросшиватели, файлы)</v>
      </c>
      <c r="B298" s="212" t="s">
        <v>84</v>
      </c>
      <c r="C298" s="209"/>
      <c r="D298" s="483">
        <f>'патриотика0,3664'!D316</f>
        <v>36.64</v>
      </c>
      <c r="E298" s="483">
        <f>'патриотика0,3664'!E316</f>
        <v>100</v>
      </c>
      <c r="F298" s="211">
        <f t="shared" si="16"/>
        <v>3664</v>
      </c>
      <c r="G298" s="424"/>
    </row>
    <row r="299" spans="1:7" x14ac:dyDescent="0.25">
      <c r="A299" s="491" t="str">
        <f>'патриотика0,3664'!A317</f>
        <v>Лампы</v>
      </c>
      <c r="B299" s="212" t="s">
        <v>84</v>
      </c>
      <c r="C299" s="209"/>
      <c r="D299" s="483">
        <f>'патриотика0,3664'!D317</f>
        <v>18.32</v>
      </c>
      <c r="E299" s="483">
        <f>'патриотика0,3664'!E317</f>
        <v>40</v>
      </c>
      <c r="F299" s="211">
        <f t="shared" si="16"/>
        <v>732.8</v>
      </c>
      <c r="G299" s="424"/>
    </row>
    <row r="300" spans="1:7" x14ac:dyDescent="0.25">
      <c r="A300" s="491" t="str">
        <f>'патриотика0,3664'!A318</f>
        <v>Батерейки</v>
      </c>
      <c r="B300" s="212" t="s">
        <v>84</v>
      </c>
      <c r="C300" s="209"/>
      <c r="D300" s="483">
        <f>'патриотика0,3664'!D318</f>
        <v>73.28</v>
      </c>
      <c r="E300" s="483">
        <f>'патриотика0,3664'!E318</f>
        <v>80</v>
      </c>
      <c r="F300" s="211">
        <f t="shared" si="16"/>
        <v>5862.4</v>
      </c>
      <c r="G300" s="424"/>
    </row>
    <row r="301" spans="1:7" x14ac:dyDescent="0.25">
      <c r="A301" s="491" t="str">
        <f>'патриотика0,3664'!A319</f>
        <v>Бумага А4</v>
      </c>
      <c r="B301" s="212" t="s">
        <v>84</v>
      </c>
      <c r="C301" s="341"/>
      <c r="D301" s="483">
        <f>'патриотика0,3664'!D319</f>
        <v>36.64</v>
      </c>
      <c r="E301" s="483">
        <f>'патриотика0,3664'!E319</f>
        <v>300</v>
      </c>
      <c r="F301" s="211">
        <f t="shared" si="16"/>
        <v>10992</v>
      </c>
      <c r="G301" s="424"/>
    </row>
    <row r="302" spans="1:7" x14ac:dyDescent="0.25">
      <c r="A302" s="491" t="str">
        <f>'патриотика0,3664'!A320</f>
        <v>Грабли, лопаты</v>
      </c>
      <c r="B302" s="212" t="s">
        <v>84</v>
      </c>
      <c r="C302" s="341"/>
      <c r="D302" s="483">
        <f>'патриотика0,3664'!D320</f>
        <v>3.6640000000000001</v>
      </c>
      <c r="E302" s="483">
        <f>'патриотика0,3664'!E320</f>
        <v>400</v>
      </c>
      <c r="F302" s="211">
        <f t="shared" si="16"/>
        <v>1465.6000000000001</v>
      </c>
      <c r="G302" s="424"/>
    </row>
    <row r="303" spans="1:7" x14ac:dyDescent="0.25">
      <c r="A303" s="491" t="str">
        <f>'патриотика0,3664'!A321</f>
        <v>ГСМ УАЗ (Масло двигатель)</v>
      </c>
      <c r="B303" s="212" t="s">
        <v>84</v>
      </c>
      <c r="C303" s="341"/>
      <c r="D303" s="483">
        <f>'патриотика0,3664'!D321</f>
        <v>7.3280000000000003</v>
      </c>
      <c r="E303" s="483">
        <f>'патриотика0,3664'!E321</f>
        <v>400</v>
      </c>
      <c r="F303" s="211">
        <f t="shared" si="16"/>
        <v>2931.2000000000003</v>
      </c>
      <c r="G303" s="424"/>
    </row>
    <row r="304" spans="1:7" x14ac:dyDescent="0.25">
      <c r="A304" s="491" t="str">
        <f>'патриотика0,3664'!A322</f>
        <v>ГСМ Бензин</v>
      </c>
      <c r="B304" s="212" t="s">
        <v>84</v>
      </c>
      <c r="C304" s="341"/>
      <c r="D304" s="483">
        <f>'патриотика0,3664'!D322</f>
        <v>952.64</v>
      </c>
      <c r="E304" s="483">
        <f>'патриотика0,3664'!E322</f>
        <v>50</v>
      </c>
      <c r="F304" s="211">
        <f>D304*E304+0.01</f>
        <v>47632.01</v>
      </c>
      <c r="G304" s="424"/>
    </row>
    <row r="305" spans="1:7" hidden="1" x14ac:dyDescent="0.25">
      <c r="A305" s="441">
        <f>'патриотика0,3664'!A323</f>
        <v>0</v>
      </c>
      <c r="B305" s="212" t="s">
        <v>84</v>
      </c>
      <c r="C305" s="213"/>
      <c r="D305" s="361">
        <f>'патриотика0,3664'!D323</f>
        <v>0.36899999999999999</v>
      </c>
      <c r="E305" s="361">
        <f>'патриотика0,3664'!E323</f>
        <v>0</v>
      </c>
      <c r="F305" s="211">
        <f t="shared" si="16"/>
        <v>0</v>
      </c>
      <c r="G305" s="424"/>
    </row>
    <row r="306" spans="1:7" hidden="1" x14ac:dyDescent="0.25">
      <c r="A306" s="441">
        <f>'патриотика0,3664'!A324</f>
        <v>0</v>
      </c>
      <c r="B306" s="212" t="s">
        <v>84</v>
      </c>
      <c r="C306" s="341"/>
      <c r="D306" s="361">
        <f>'патриотика0,3664'!D324</f>
        <v>11.808</v>
      </c>
      <c r="E306" s="361">
        <f>'патриотика0,3664'!E324</f>
        <v>0</v>
      </c>
      <c r="F306" s="211">
        <f t="shared" si="16"/>
        <v>0</v>
      </c>
      <c r="G306" s="424"/>
    </row>
    <row r="307" spans="1:7" hidden="1" x14ac:dyDescent="0.25">
      <c r="A307" s="441">
        <f>'патриотика0,3664'!A325</f>
        <v>0</v>
      </c>
      <c r="B307" s="212" t="s">
        <v>84</v>
      </c>
      <c r="C307" s="341"/>
      <c r="D307" s="361">
        <f>'патриотика0,3664'!D325</f>
        <v>2.5830000000000002</v>
      </c>
      <c r="E307" s="361">
        <f>'патриотика0,3664'!E325</f>
        <v>0</v>
      </c>
      <c r="F307" s="211">
        <f t="shared" si="16"/>
        <v>0</v>
      </c>
      <c r="G307" s="424"/>
    </row>
    <row r="308" spans="1:7" hidden="1" x14ac:dyDescent="0.25">
      <c r="A308" s="441">
        <f>'патриотика0,3664'!A326</f>
        <v>0</v>
      </c>
      <c r="B308" s="212" t="s">
        <v>84</v>
      </c>
      <c r="C308" s="368"/>
      <c r="D308" s="361">
        <f>'патриотика0,3664'!D326</f>
        <v>0.36899999999999999</v>
      </c>
      <c r="E308" s="361">
        <f>'патриотика0,3664'!E326</f>
        <v>0</v>
      </c>
      <c r="F308" s="211">
        <f t="shared" si="16"/>
        <v>0</v>
      </c>
      <c r="G308" s="424"/>
    </row>
    <row r="309" spans="1:7" hidden="1" x14ac:dyDescent="0.25">
      <c r="A309" s="441">
        <f>'патриотика0,3664'!A327</f>
        <v>0</v>
      </c>
      <c r="B309" s="212" t="s">
        <v>84</v>
      </c>
      <c r="C309" s="368"/>
      <c r="D309" s="361">
        <f>'патриотика0,3664'!D327</f>
        <v>0.36899999999999999</v>
      </c>
      <c r="E309" s="361">
        <f>'патриотика0,3664'!E327</f>
        <v>0</v>
      </c>
      <c r="F309" s="211">
        <f t="shared" si="16"/>
        <v>0</v>
      </c>
      <c r="G309" s="424"/>
    </row>
    <row r="310" spans="1:7" hidden="1" x14ac:dyDescent="0.25">
      <c r="A310" s="441">
        <f>'патриотика0,3664'!A328</f>
        <v>0</v>
      </c>
      <c r="B310" s="212" t="s">
        <v>84</v>
      </c>
      <c r="C310" s="368"/>
      <c r="D310" s="361">
        <f>'патриотика0,3664'!D328</f>
        <v>0.36899999999999999</v>
      </c>
      <c r="E310" s="361">
        <f>'патриотика0,3664'!E328</f>
        <v>0</v>
      </c>
      <c r="F310" s="211">
        <f t="shared" si="16"/>
        <v>0</v>
      </c>
      <c r="G310" s="424"/>
    </row>
    <row r="311" spans="1:7" hidden="1" x14ac:dyDescent="0.25">
      <c r="A311" s="441">
        <f>'патриотика0,3664'!A329</f>
        <v>0</v>
      </c>
      <c r="B311" s="212" t="s">
        <v>84</v>
      </c>
      <c r="C311" s="368"/>
      <c r="D311" s="361">
        <f>'патриотика0,3664'!D329</f>
        <v>3.69</v>
      </c>
      <c r="E311" s="361">
        <f>'патриотика0,3664'!E329</f>
        <v>0</v>
      </c>
      <c r="F311" s="211">
        <f t="shared" si="16"/>
        <v>0</v>
      </c>
      <c r="G311" s="424"/>
    </row>
    <row r="312" spans="1:7" hidden="1" x14ac:dyDescent="0.25">
      <c r="A312" s="441">
        <f>'патриотика0,3664'!A330</f>
        <v>0</v>
      </c>
      <c r="B312" s="212" t="s">
        <v>84</v>
      </c>
      <c r="C312" s="368"/>
      <c r="D312" s="361">
        <f>'патриотика0,3664'!D330</f>
        <v>7.38</v>
      </c>
      <c r="E312" s="361">
        <f>'патриотика0,3664'!E330</f>
        <v>0</v>
      </c>
      <c r="F312" s="211">
        <f t="shared" si="16"/>
        <v>0</v>
      </c>
      <c r="G312" s="424"/>
    </row>
    <row r="313" spans="1:7" hidden="1" x14ac:dyDescent="0.25">
      <c r="A313" s="441">
        <f>'патриотика0,3664'!A331</f>
        <v>0</v>
      </c>
      <c r="B313" s="212" t="s">
        <v>84</v>
      </c>
      <c r="C313" s="368"/>
      <c r="D313" s="361">
        <f>'патриотика0,3664'!D331</f>
        <v>913.75470000000007</v>
      </c>
      <c r="E313" s="361">
        <f>'патриотика0,3664'!E331</f>
        <v>0</v>
      </c>
      <c r="F313" s="211">
        <f t="shared" si="16"/>
        <v>0</v>
      </c>
      <c r="G313" s="424"/>
    </row>
    <row r="314" spans="1:7" hidden="1" x14ac:dyDescent="0.25">
      <c r="A314" s="313"/>
      <c r="B314" s="212"/>
      <c r="C314" s="340"/>
      <c r="D314" s="315"/>
      <c r="E314" s="347"/>
      <c r="F314" s="211"/>
    </row>
    <row r="315" spans="1:7" hidden="1" x14ac:dyDescent="0.25">
      <c r="A315" s="313"/>
      <c r="B315" s="212"/>
      <c r="C315" s="340"/>
      <c r="D315" s="315"/>
      <c r="E315" s="347"/>
      <c r="F315" s="211"/>
    </row>
    <row r="316" spans="1:7" hidden="1" x14ac:dyDescent="0.25">
      <c r="A316" s="313"/>
      <c r="B316" s="212"/>
      <c r="C316" s="340"/>
      <c r="D316" s="315"/>
      <c r="E316" s="347"/>
      <c r="F316" s="211"/>
    </row>
    <row r="317" spans="1:7" hidden="1" x14ac:dyDescent="0.25">
      <c r="A317" s="313"/>
      <c r="B317" s="212"/>
      <c r="C317" s="340"/>
      <c r="D317" s="315"/>
      <c r="E317" s="347"/>
      <c r="F317" s="211"/>
    </row>
    <row r="318" spans="1:7" hidden="1" x14ac:dyDescent="0.25">
      <c r="A318" s="313"/>
      <c r="B318" s="212"/>
      <c r="C318" s="340"/>
      <c r="D318" s="315"/>
      <c r="E318" s="347"/>
      <c r="F318" s="211"/>
    </row>
    <row r="319" spans="1:7" hidden="1" x14ac:dyDescent="0.25">
      <c r="A319" s="313"/>
      <c r="B319" s="212"/>
      <c r="C319" s="340"/>
      <c r="D319" s="315"/>
      <c r="E319" s="347"/>
      <c r="F319" s="211"/>
    </row>
    <row r="320" spans="1:7" hidden="1" x14ac:dyDescent="0.25">
      <c r="A320" s="313"/>
      <c r="B320" s="212"/>
      <c r="C320" s="340"/>
      <c r="D320" s="315"/>
      <c r="E320" s="347"/>
      <c r="F320" s="211"/>
    </row>
    <row r="321" spans="1:6" hidden="1" x14ac:dyDescent="0.25">
      <c r="A321" s="313"/>
      <c r="B321" s="212"/>
      <c r="C321" s="340"/>
      <c r="D321" s="315"/>
      <c r="E321" s="347"/>
      <c r="F321" s="211"/>
    </row>
    <row r="322" spans="1:6" hidden="1" x14ac:dyDescent="0.25">
      <c r="A322" s="313"/>
      <c r="B322" s="212"/>
      <c r="C322" s="340"/>
      <c r="D322" s="315"/>
      <c r="E322" s="347"/>
      <c r="F322" s="211"/>
    </row>
    <row r="323" spans="1:6" hidden="1" x14ac:dyDescent="0.25">
      <c r="A323" s="313"/>
      <c r="B323" s="212"/>
      <c r="C323" s="340"/>
      <c r="D323" s="315"/>
      <c r="E323" s="347"/>
      <c r="F323" s="211"/>
    </row>
    <row r="324" spans="1:6" hidden="1" x14ac:dyDescent="0.25">
      <c r="A324" s="313"/>
      <c r="B324" s="212"/>
      <c r="C324" s="340"/>
      <c r="D324" s="315"/>
      <c r="E324" s="347"/>
      <c r="F324" s="211"/>
    </row>
    <row r="325" spans="1:6" hidden="1" x14ac:dyDescent="0.25">
      <c r="A325" s="313"/>
      <c r="B325" s="212"/>
      <c r="C325" s="340"/>
      <c r="D325" s="315"/>
      <c r="E325" s="347"/>
      <c r="F325" s="211"/>
    </row>
    <row r="326" spans="1:6" hidden="1" x14ac:dyDescent="0.25">
      <c r="A326" s="313"/>
      <c r="B326" s="212"/>
      <c r="C326" s="340"/>
      <c r="D326" s="315"/>
      <c r="E326" s="347"/>
      <c r="F326" s="211"/>
    </row>
    <row r="327" spans="1:6" hidden="1" x14ac:dyDescent="0.25">
      <c r="A327" s="313"/>
      <c r="B327" s="212"/>
      <c r="C327" s="340"/>
      <c r="D327" s="315"/>
      <c r="E327" s="347"/>
      <c r="F327" s="211"/>
    </row>
    <row r="328" spans="1:6" hidden="1" x14ac:dyDescent="0.25">
      <c r="A328" s="313"/>
      <c r="B328" s="212"/>
      <c r="C328" s="315"/>
      <c r="D328" s="315"/>
      <c r="E328" s="347"/>
      <c r="F328" s="211"/>
    </row>
    <row r="329" spans="1:6" hidden="1" x14ac:dyDescent="0.25">
      <c r="A329" s="313"/>
      <c r="B329" s="212"/>
      <c r="C329" s="315"/>
      <c r="D329" s="315"/>
      <c r="E329" s="347"/>
      <c r="F329" s="211"/>
    </row>
    <row r="330" spans="1:6" hidden="1" x14ac:dyDescent="0.25">
      <c r="A330" s="313"/>
      <c r="B330" s="212"/>
      <c r="C330" s="315"/>
      <c r="D330" s="315"/>
      <c r="E330" s="347"/>
      <c r="F330" s="211"/>
    </row>
    <row r="331" spans="1:6" hidden="1" x14ac:dyDescent="0.25">
      <c r="A331" s="313"/>
      <c r="B331" s="212"/>
      <c r="C331" s="315"/>
      <c r="D331" s="315"/>
      <c r="E331" s="347"/>
      <c r="F331" s="211"/>
    </row>
    <row r="332" spans="1:6" hidden="1" x14ac:dyDescent="0.25">
      <c r="A332" s="313"/>
      <c r="B332" s="212"/>
      <c r="C332" s="315"/>
      <c r="D332" s="315"/>
      <c r="E332" s="347"/>
      <c r="F332" s="211"/>
    </row>
    <row r="333" spans="1:6" hidden="1" x14ac:dyDescent="0.25">
      <c r="A333" s="313"/>
      <c r="B333" s="212"/>
      <c r="C333" s="315"/>
      <c r="D333" s="315"/>
      <c r="E333" s="347"/>
      <c r="F333" s="211"/>
    </row>
    <row r="334" spans="1:6" hidden="1" x14ac:dyDescent="0.25">
      <c r="A334" s="313"/>
      <c r="B334" s="212"/>
      <c r="C334" s="315"/>
      <c r="D334" s="315"/>
      <c r="E334" s="347"/>
      <c r="F334" s="211"/>
    </row>
    <row r="335" spans="1:6" hidden="1" x14ac:dyDescent="0.25">
      <c r="A335" s="313"/>
      <c r="B335" s="212"/>
      <c r="C335" s="315"/>
      <c r="D335" s="315"/>
      <c r="E335" s="347"/>
      <c r="F335" s="211"/>
    </row>
    <row r="336" spans="1:6" hidden="1" x14ac:dyDescent="0.25">
      <c r="A336" s="313"/>
      <c r="B336" s="212"/>
      <c r="C336" s="315"/>
      <c r="D336" s="315"/>
      <c r="E336" s="347"/>
      <c r="F336" s="211"/>
    </row>
    <row r="337" spans="1:9" hidden="1" x14ac:dyDescent="0.25">
      <c r="A337" s="313"/>
      <c r="B337" s="212"/>
      <c r="C337" s="315"/>
      <c r="D337" s="315"/>
      <c r="E337" s="347"/>
      <c r="F337" s="211"/>
    </row>
    <row r="338" spans="1:9" hidden="1" x14ac:dyDescent="0.25">
      <c r="A338" s="313"/>
      <c r="B338" s="212"/>
      <c r="C338" s="315"/>
      <c r="D338" s="315"/>
      <c r="E338" s="347"/>
      <c r="F338" s="211"/>
    </row>
    <row r="339" spans="1:9" hidden="1" x14ac:dyDescent="0.25">
      <c r="A339" s="313"/>
      <c r="B339" s="212"/>
      <c r="C339" s="315"/>
      <c r="D339" s="315"/>
      <c r="E339" s="347"/>
      <c r="F339" s="211"/>
    </row>
    <row r="340" spans="1:9" hidden="1" x14ac:dyDescent="0.25">
      <c r="A340" s="313"/>
      <c r="B340" s="212"/>
      <c r="C340" s="315"/>
      <c r="D340" s="315"/>
      <c r="E340" s="347"/>
      <c r="F340" s="211"/>
    </row>
    <row r="341" spans="1:9" hidden="1" x14ac:dyDescent="0.25">
      <c r="A341" s="313"/>
      <c r="B341" s="212"/>
      <c r="C341" s="315"/>
      <c r="D341" s="315"/>
      <c r="E341" s="347"/>
      <c r="F341" s="211"/>
    </row>
    <row r="342" spans="1:9" hidden="1" x14ac:dyDescent="0.25">
      <c r="A342" s="313"/>
      <c r="B342" s="212"/>
      <c r="C342" s="315"/>
      <c r="D342" s="315"/>
      <c r="E342" s="347"/>
      <c r="F342" s="211"/>
    </row>
    <row r="343" spans="1:9" hidden="1" x14ac:dyDescent="0.25">
      <c r="A343" s="313"/>
      <c r="B343" s="212"/>
      <c r="C343" s="315"/>
      <c r="D343" s="315"/>
      <c r="E343" s="347"/>
      <c r="F343" s="211"/>
    </row>
    <row r="344" spans="1:9" hidden="1" x14ac:dyDescent="0.25">
      <c r="A344" s="313"/>
      <c r="B344" s="212"/>
      <c r="C344" s="315"/>
      <c r="D344" s="315"/>
      <c r="E344" s="347"/>
      <c r="F344" s="211"/>
    </row>
    <row r="345" spans="1:9" hidden="1" x14ac:dyDescent="0.25">
      <c r="A345" s="313"/>
      <c r="B345" s="212"/>
      <c r="C345" s="315"/>
      <c r="D345" s="315"/>
      <c r="E345" s="347"/>
      <c r="F345" s="211"/>
    </row>
    <row r="346" spans="1:9" hidden="1" x14ac:dyDescent="0.25">
      <c r="A346" s="313"/>
      <c r="B346" s="212"/>
      <c r="C346" s="315"/>
      <c r="D346" s="315"/>
      <c r="E346" s="347"/>
      <c r="F346" s="211"/>
    </row>
    <row r="347" spans="1:9" hidden="1" x14ac:dyDescent="0.25">
      <c r="A347" s="313"/>
      <c r="B347" s="212"/>
      <c r="C347" s="315"/>
      <c r="D347" s="315"/>
      <c r="E347" s="347"/>
      <c r="F347" s="211"/>
    </row>
    <row r="348" spans="1:9" ht="14.45" hidden="1" customHeight="1" x14ac:dyDescent="0.25">
      <c r="A348" s="313"/>
      <c r="B348" s="212"/>
      <c r="C348" s="315"/>
      <c r="D348" s="315"/>
      <c r="E348" s="347"/>
      <c r="F348" s="211"/>
      <c r="H348" s="337"/>
      <c r="I348" s="111"/>
    </row>
    <row r="349" spans="1:9" hidden="1" x14ac:dyDescent="0.25">
      <c r="A349" s="313"/>
      <c r="B349" s="212"/>
      <c r="C349" s="315"/>
      <c r="D349" s="315"/>
      <c r="E349" s="347"/>
      <c r="F349" s="211"/>
      <c r="H349" s="337"/>
      <c r="I349" s="111"/>
    </row>
    <row r="350" spans="1:9" hidden="1" x14ac:dyDescent="0.25">
      <c r="A350" s="313"/>
      <c r="B350" s="212"/>
      <c r="C350" s="315"/>
      <c r="D350" s="315"/>
      <c r="E350" s="347"/>
      <c r="F350" s="211"/>
      <c r="H350" s="337"/>
      <c r="I350" s="111"/>
    </row>
    <row r="351" spans="1:9" ht="16.899999999999999" hidden="1" customHeight="1" x14ac:dyDescent="0.25">
      <c r="A351" s="313"/>
      <c r="B351" s="212"/>
      <c r="C351" s="315"/>
      <c r="D351" s="315"/>
      <c r="E351" s="347"/>
      <c r="F351" s="211"/>
      <c r="H351" s="337"/>
      <c r="I351" s="111"/>
    </row>
    <row r="352" spans="1:9" ht="15.6" hidden="1" customHeight="1" x14ac:dyDescent="0.25">
      <c r="A352" s="313"/>
      <c r="B352" s="212"/>
      <c r="C352" s="315"/>
      <c r="D352" s="315"/>
      <c r="E352" s="347"/>
      <c r="F352" s="211"/>
      <c r="H352" s="337"/>
      <c r="I352" s="111"/>
    </row>
    <row r="353" spans="1:9" hidden="1" x14ac:dyDescent="0.25">
      <c r="A353" s="313"/>
      <c r="B353" s="212"/>
      <c r="C353" s="315"/>
      <c r="D353" s="315"/>
      <c r="E353" s="347"/>
      <c r="F353" s="211"/>
      <c r="H353" s="337"/>
      <c r="I353" s="111"/>
    </row>
    <row r="354" spans="1:9" hidden="1" x14ac:dyDescent="0.25">
      <c r="A354" s="313"/>
      <c r="B354" s="212"/>
      <c r="C354" s="315"/>
      <c r="D354" s="315"/>
      <c r="E354" s="347"/>
      <c r="F354" s="211"/>
      <c r="H354" s="337"/>
      <c r="I354" s="111"/>
    </row>
    <row r="355" spans="1:9" hidden="1" x14ac:dyDescent="0.25">
      <c r="A355" s="313"/>
      <c r="B355" s="212"/>
      <c r="C355" s="315"/>
      <c r="D355" s="315"/>
      <c r="E355" s="347"/>
      <c r="F355" s="211"/>
      <c r="H355" s="337"/>
      <c r="I355" s="111"/>
    </row>
    <row r="356" spans="1:9" hidden="1" x14ac:dyDescent="0.25">
      <c r="A356" s="313"/>
      <c r="B356" s="212"/>
      <c r="C356" s="315"/>
      <c r="D356" s="315"/>
      <c r="E356" s="347"/>
      <c r="F356" s="211"/>
      <c r="H356" s="337"/>
      <c r="I356" s="111"/>
    </row>
    <row r="357" spans="1:9" hidden="1" x14ac:dyDescent="0.25">
      <c r="A357" s="313"/>
      <c r="B357" s="212"/>
      <c r="C357" s="315"/>
      <c r="D357" s="315"/>
      <c r="E357" s="347"/>
      <c r="F357" s="211"/>
      <c r="H357" s="337"/>
      <c r="I357" s="111"/>
    </row>
    <row r="358" spans="1:9" hidden="1" x14ac:dyDescent="0.25">
      <c r="A358" s="313"/>
      <c r="B358" s="212"/>
      <c r="C358" s="315"/>
      <c r="D358" s="315"/>
      <c r="E358" s="347"/>
      <c r="F358" s="211"/>
      <c r="H358" s="337"/>
      <c r="I358" s="111"/>
    </row>
    <row r="359" spans="1:9" hidden="1" x14ac:dyDescent="0.25">
      <c r="A359" s="313"/>
      <c r="B359" s="212"/>
      <c r="C359" s="315"/>
      <c r="D359" s="315"/>
      <c r="E359" s="347"/>
      <c r="F359" s="211"/>
      <c r="H359" s="337"/>
      <c r="I359" s="111"/>
    </row>
    <row r="360" spans="1:9" hidden="1" x14ac:dyDescent="0.25">
      <c r="A360" s="313"/>
      <c r="B360" s="212"/>
      <c r="C360" s="315"/>
      <c r="D360" s="315"/>
      <c r="E360" s="347"/>
      <c r="F360" s="211"/>
      <c r="H360" s="337"/>
      <c r="I360" s="111"/>
    </row>
    <row r="361" spans="1:9" hidden="1" x14ac:dyDescent="0.25">
      <c r="A361" s="313"/>
      <c r="B361" s="212"/>
      <c r="C361" s="315"/>
      <c r="D361" s="315"/>
      <c r="E361" s="347"/>
      <c r="F361" s="211"/>
      <c r="H361" s="337"/>
      <c r="I361" s="111"/>
    </row>
    <row r="362" spans="1:9" hidden="1" x14ac:dyDescent="0.25">
      <c r="A362" s="313"/>
      <c r="B362" s="212"/>
      <c r="C362" s="315"/>
      <c r="D362" s="315"/>
      <c r="E362" s="347"/>
      <c r="F362" s="211"/>
      <c r="H362" s="337"/>
      <c r="I362" s="111"/>
    </row>
    <row r="363" spans="1:9" hidden="1" x14ac:dyDescent="0.25">
      <c r="A363" s="313"/>
      <c r="B363" s="212"/>
      <c r="C363" s="315"/>
      <c r="D363" s="315"/>
      <c r="E363" s="347"/>
      <c r="F363" s="211"/>
      <c r="H363" s="337"/>
      <c r="I363" s="111"/>
    </row>
    <row r="364" spans="1:9" hidden="1" x14ac:dyDescent="0.25">
      <c r="A364" s="313"/>
      <c r="B364" s="212"/>
      <c r="C364" s="315"/>
      <c r="D364" s="315"/>
      <c r="E364" s="347"/>
      <c r="F364" s="211"/>
      <c r="H364" s="337"/>
      <c r="I364" s="111"/>
    </row>
    <row r="365" spans="1:9" hidden="1" x14ac:dyDescent="0.25">
      <c r="A365" s="313"/>
      <c r="B365" s="212"/>
      <c r="C365" s="315"/>
      <c r="D365" s="315"/>
      <c r="E365" s="347"/>
      <c r="F365" s="211"/>
      <c r="H365" s="337"/>
      <c r="I365" s="111"/>
    </row>
    <row r="366" spans="1:9" hidden="1" x14ac:dyDescent="0.25">
      <c r="A366" s="313"/>
      <c r="B366" s="212"/>
      <c r="C366" s="315"/>
      <c r="D366" s="315"/>
      <c r="E366" s="347"/>
      <c r="F366" s="211"/>
      <c r="H366" s="337"/>
      <c r="I366" s="111"/>
    </row>
    <row r="367" spans="1:9" hidden="1" x14ac:dyDescent="0.25">
      <c r="A367" s="313"/>
      <c r="B367" s="212"/>
      <c r="C367" s="315"/>
      <c r="D367" s="315"/>
      <c r="E367" s="347"/>
      <c r="F367" s="211"/>
      <c r="H367" s="337"/>
      <c r="I367" s="111"/>
    </row>
    <row r="368" spans="1:9" hidden="1" x14ac:dyDescent="0.25">
      <c r="A368" s="313"/>
      <c r="B368" s="212"/>
      <c r="C368" s="315"/>
      <c r="D368" s="315"/>
      <c r="E368" s="347"/>
      <c r="F368" s="211"/>
      <c r="H368" s="337"/>
      <c r="I368" s="111"/>
    </row>
    <row r="369" spans="1:9" hidden="1" x14ac:dyDescent="0.25">
      <c r="A369" s="313"/>
      <c r="B369" s="212"/>
      <c r="C369" s="315"/>
      <c r="D369" s="315"/>
      <c r="E369" s="347"/>
      <c r="F369" s="211"/>
      <c r="H369" s="337"/>
      <c r="I369" s="111"/>
    </row>
    <row r="370" spans="1:9" hidden="1" x14ac:dyDescent="0.25">
      <c r="A370" s="313"/>
      <c r="B370" s="212"/>
      <c r="C370" s="315"/>
      <c r="D370" s="315"/>
      <c r="E370" s="347"/>
      <c r="F370" s="211"/>
      <c r="H370" s="337"/>
      <c r="I370" s="111"/>
    </row>
    <row r="371" spans="1:9" hidden="1" x14ac:dyDescent="0.25">
      <c r="A371" s="313"/>
      <c r="B371" s="212"/>
      <c r="C371" s="315"/>
      <c r="D371" s="315"/>
      <c r="E371" s="347"/>
      <c r="F371" s="211"/>
      <c r="H371" s="337"/>
      <c r="I371" s="111"/>
    </row>
    <row r="372" spans="1:9" hidden="1" x14ac:dyDescent="0.25">
      <c r="A372" s="313"/>
      <c r="B372" s="212"/>
      <c r="C372" s="315"/>
      <c r="D372" s="315"/>
      <c r="E372" s="347"/>
      <c r="F372" s="211"/>
      <c r="H372" s="337"/>
      <c r="I372" s="111"/>
    </row>
    <row r="373" spans="1:9" hidden="1" x14ac:dyDescent="0.25">
      <c r="A373" s="313"/>
      <c r="B373" s="212"/>
      <c r="C373" s="315"/>
      <c r="D373" s="315"/>
      <c r="E373" s="347"/>
      <c r="F373" s="211"/>
      <c r="H373" s="337"/>
      <c r="I373" s="111"/>
    </row>
    <row r="374" spans="1:9" hidden="1" x14ac:dyDescent="0.25">
      <c r="A374" s="313"/>
      <c r="B374" s="212"/>
      <c r="C374" s="315"/>
      <c r="D374" s="315"/>
      <c r="E374" s="347"/>
      <c r="F374" s="211"/>
      <c r="H374" s="337"/>
      <c r="I374" s="111"/>
    </row>
    <row r="375" spans="1:9" hidden="1" x14ac:dyDescent="0.25">
      <c r="A375" s="313"/>
      <c r="B375" s="212"/>
      <c r="C375" s="315"/>
      <c r="D375" s="315"/>
      <c r="E375" s="347"/>
      <c r="F375" s="211"/>
      <c r="H375" s="337"/>
      <c r="I375" s="111"/>
    </row>
    <row r="376" spans="1:9" hidden="1" x14ac:dyDescent="0.25">
      <c r="A376" s="313"/>
      <c r="B376" s="212"/>
      <c r="C376" s="315"/>
      <c r="D376" s="315"/>
      <c r="E376" s="347"/>
      <c r="F376" s="211"/>
      <c r="H376" s="337"/>
      <c r="I376" s="111"/>
    </row>
    <row r="377" spans="1:9" hidden="1" x14ac:dyDescent="0.25">
      <c r="A377" s="313"/>
      <c r="B377" s="212"/>
      <c r="C377" s="315"/>
      <c r="D377" s="315"/>
      <c r="E377" s="347"/>
      <c r="F377" s="211"/>
      <c r="H377" s="337"/>
      <c r="I377" s="111"/>
    </row>
    <row r="378" spans="1:9" hidden="1" x14ac:dyDescent="0.25">
      <c r="A378" s="313"/>
      <c r="B378" s="212"/>
      <c r="C378" s="315"/>
      <c r="D378" s="315"/>
      <c r="E378" s="347"/>
      <c r="F378" s="211"/>
      <c r="H378" s="337"/>
      <c r="I378" s="111"/>
    </row>
    <row r="379" spans="1:9" hidden="1" x14ac:dyDescent="0.25">
      <c r="A379" s="313"/>
      <c r="B379" s="212"/>
      <c r="C379" s="315"/>
      <c r="D379" s="315"/>
      <c r="E379" s="347"/>
      <c r="F379" s="211"/>
      <c r="H379" s="337"/>
      <c r="I379" s="111"/>
    </row>
    <row r="380" spans="1:9" hidden="1" x14ac:dyDescent="0.25">
      <c r="A380" s="313"/>
      <c r="B380" s="212"/>
      <c r="C380" s="315"/>
      <c r="D380" s="315"/>
      <c r="E380" s="347"/>
      <c r="F380" s="211"/>
      <c r="H380" s="337"/>
      <c r="I380" s="111"/>
    </row>
    <row r="381" spans="1:9" hidden="1" x14ac:dyDescent="0.25">
      <c r="A381" s="313"/>
      <c r="B381" s="212"/>
      <c r="C381" s="315"/>
      <c r="D381" s="315"/>
      <c r="E381" s="347"/>
      <c r="F381" s="211"/>
      <c r="H381" s="337"/>
      <c r="I381" s="111"/>
    </row>
    <row r="382" spans="1:9" hidden="1" x14ac:dyDescent="0.25">
      <c r="A382" s="313"/>
      <c r="B382" s="212"/>
      <c r="C382" s="315"/>
      <c r="D382" s="315"/>
      <c r="E382" s="347"/>
      <c r="F382" s="211"/>
      <c r="H382" s="337"/>
      <c r="I382" s="111"/>
    </row>
    <row r="383" spans="1:9" hidden="1" x14ac:dyDescent="0.25">
      <c r="A383" s="313"/>
      <c r="B383" s="212"/>
      <c r="C383" s="315"/>
      <c r="D383" s="315"/>
      <c r="E383" s="347"/>
      <c r="F383" s="211"/>
      <c r="H383" s="337"/>
      <c r="I383" s="111"/>
    </row>
    <row r="384" spans="1:9" hidden="1" x14ac:dyDescent="0.25">
      <c r="A384" s="313"/>
      <c r="B384" s="212"/>
      <c r="C384" s="315"/>
      <c r="D384" s="315"/>
      <c r="E384" s="347"/>
      <c r="F384" s="211"/>
      <c r="H384" s="337"/>
      <c r="I384" s="111"/>
    </row>
    <row r="385" spans="1:9" hidden="1" x14ac:dyDescent="0.25">
      <c r="A385" s="313"/>
      <c r="B385" s="212"/>
      <c r="C385" s="315"/>
      <c r="D385" s="315"/>
      <c r="E385" s="347"/>
      <c r="F385" s="211"/>
      <c r="H385" s="337"/>
      <c r="I385" s="111"/>
    </row>
    <row r="386" spans="1:9" hidden="1" x14ac:dyDescent="0.25">
      <c r="A386" s="313"/>
      <c r="B386" s="212"/>
      <c r="C386" s="315"/>
      <c r="D386" s="315"/>
      <c r="E386" s="347"/>
      <c r="F386" s="211"/>
      <c r="H386" s="337"/>
      <c r="I386" s="111"/>
    </row>
    <row r="387" spans="1:9" hidden="1" x14ac:dyDescent="0.25">
      <c r="A387" s="313"/>
      <c r="B387" s="212"/>
      <c r="C387" s="315"/>
      <c r="D387" s="315"/>
      <c r="E387" s="347"/>
      <c r="F387" s="211"/>
      <c r="H387" s="337"/>
      <c r="I387" s="111"/>
    </row>
    <row r="388" spans="1:9" hidden="1" x14ac:dyDescent="0.25">
      <c r="A388" s="313"/>
      <c r="B388" s="212"/>
      <c r="C388" s="315"/>
      <c r="D388" s="315"/>
      <c r="E388" s="347"/>
      <c r="F388" s="211"/>
      <c r="H388" s="337"/>
      <c r="I388" s="111"/>
    </row>
    <row r="389" spans="1:9" hidden="1" x14ac:dyDescent="0.25">
      <c r="A389" s="313"/>
      <c r="B389" s="212"/>
      <c r="C389" s="315"/>
      <c r="D389" s="315"/>
      <c r="E389" s="347"/>
      <c r="F389" s="211"/>
      <c r="H389" s="337"/>
      <c r="I389" s="111"/>
    </row>
    <row r="390" spans="1:9" hidden="1" x14ac:dyDescent="0.25">
      <c r="A390" s="313"/>
      <c r="B390" s="212"/>
      <c r="C390" s="315"/>
      <c r="D390" s="315"/>
      <c r="E390" s="347"/>
      <c r="F390" s="211"/>
      <c r="H390" s="337"/>
      <c r="I390" s="111"/>
    </row>
    <row r="391" spans="1:9" hidden="1" x14ac:dyDescent="0.25">
      <c r="A391" s="313"/>
      <c r="B391" s="212"/>
      <c r="C391" s="315"/>
      <c r="D391" s="315"/>
      <c r="E391" s="347"/>
      <c r="F391" s="211"/>
      <c r="H391" s="337"/>
      <c r="I391" s="111"/>
    </row>
    <row r="392" spans="1:9" hidden="1" x14ac:dyDescent="0.25">
      <c r="A392" s="313"/>
      <c r="B392" s="212"/>
      <c r="C392" s="315"/>
      <c r="D392" s="315"/>
      <c r="E392" s="347"/>
      <c r="F392" s="211"/>
      <c r="H392" s="337"/>
      <c r="I392" s="111"/>
    </row>
    <row r="393" spans="1:9" hidden="1" x14ac:dyDescent="0.25">
      <c r="A393" s="313"/>
      <c r="B393" s="212"/>
      <c r="C393" s="315"/>
      <c r="D393" s="315"/>
      <c r="E393" s="347"/>
      <c r="F393" s="211"/>
      <c r="H393" s="337"/>
      <c r="I393" s="111"/>
    </row>
    <row r="394" spans="1:9" hidden="1" x14ac:dyDescent="0.25">
      <c r="A394" s="313"/>
      <c r="B394" s="212"/>
      <c r="C394" s="315"/>
      <c r="D394" s="315"/>
      <c r="E394" s="347"/>
      <c r="F394" s="211"/>
      <c r="H394" s="337"/>
      <c r="I394" s="111"/>
    </row>
    <row r="395" spans="1:9" hidden="1" x14ac:dyDescent="0.25">
      <c r="A395" s="313"/>
      <c r="B395" s="212"/>
      <c r="C395" s="315"/>
      <c r="D395" s="315"/>
      <c r="E395" s="347"/>
      <c r="F395" s="211"/>
      <c r="H395" s="337"/>
      <c r="I395" s="111"/>
    </row>
    <row r="396" spans="1:9" hidden="1" x14ac:dyDescent="0.25">
      <c r="A396" s="313"/>
      <c r="B396" s="212"/>
      <c r="C396" s="315"/>
      <c r="D396" s="315"/>
      <c r="E396" s="347"/>
      <c r="F396" s="211"/>
      <c r="H396" s="337"/>
      <c r="I396" s="111"/>
    </row>
    <row r="397" spans="1:9" hidden="1" x14ac:dyDescent="0.25">
      <c r="A397" s="313"/>
      <c r="B397" s="212"/>
      <c r="C397" s="315"/>
      <c r="D397" s="315"/>
      <c r="E397" s="347"/>
      <c r="F397" s="211"/>
      <c r="H397" s="337"/>
      <c r="I397" s="111"/>
    </row>
    <row r="398" spans="1:9" hidden="1" x14ac:dyDescent="0.25">
      <c r="A398" s="313"/>
      <c r="B398" s="212"/>
      <c r="C398" s="315"/>
      <c r="D398" s="315"/>
      <c r="E398" s="347"/>
      <c r="F398" s="211"/>
      <c r="H398" s="337"/>
      <c r="I398" s="111"/>
    </row>
    <row r="399" spans="1:9" hidden="1" x14ac:dyDescent="0.25">
      <c r="A399" s="313"/>
      <c r="B399" s="212"/>
      <c r="C399" s="315"/>
      <c r="D399" s="315"/>
      <c r="E399" s="347"/>
      <c r="F399" s="211"/>
      <c r="H399" s="337"/>
      <c r="I399" s="111"/>
    </row>
    <row r="400" spans="1:9" ht="15" hidden="1" customHeight="1" x14ac:dyDescent="0.25">
      <c r="A400" s="313"/>
      <c r="B400" s="212"/>
      <c r="C400" s="315"/>
      <c r="D400" s="315"/>
      <c r="E400" s="347"/>
      <c r="F400" s="211"/>
      <c r="H400" s="337"/>
      <c r="I400" s="111"/>
    </row>
    <row r="401" spans="1:9" hidden="1" x14ac:dyDescent="0.25">
      <c r="A401" s="313"/>
      <c r="B401" s="212"/>
      <c r="C401" s="315"/>
      <c r="D401" s="315"/>
      <c r="E401" s="347"/>
      <c r="F401" s="211"/>
      <c r="H401" s="337"/>
      <c r="I401" s="111"/>
    </row>
    <row r="402" spans="1:9" hidden="1" x14ac:dyDescent="0.25">
      <c r="A402" s="313"/>
      <c r="B402" s="212"/>
      <c r="C402" s="315"/>
      <c r="D402" s="315"/>
      <c r="E402" s="347"/>
      <c r="F402" s="211"/>
      <c r="H402" s="337"/>
      <c r="I402" s="111"/>
    </row>
    <row r="403" spans="1:9" hidden="1" x14ac:dyDescent="0.25">
      <c r="A403" s="313"/>
      <c r="B403" s="212"/>
      <c r="C403" s="315"/>
      <c r="D403" s="315"/>
      <c r="E403" s="347"/>
      <c r="F403" s="211"/>
      <c r="H403" s="337"/>
      <c r="I403" s="111"/>
    </row>
    <row r="404" spans="1:9" hidden="1" x14ac:dyDescent="0.25">
      <c r="A404" s="313"/>
      <c r="B404" s="212"/>
      <c r="C404" s="315"/>
      <c r="D404" s="315"/>
      <c r="E404" s="347"/>
      <c r="F404" s="211"/>
      <c r="H404" s="337"/>
      <c r="I404" s="111"/>
    </row>
    <row r="405" spans="1:9" hidden="1" x14ac:dyDescent="0.25">
      <c r="A405" s="313"/>
      <c r="B405" s="212"/>
      <c r="C405" s="315"/>
      <c r="D405" s="315"/>
      <c r="E405" s="347"/>
      <c r="F405" s="211"/>
      <c r="H405" s="337"/>
      <c r="I405" s="111"/>
    </row>
    <row r="406" spans="1:9" hidden="1" x14ac:dyDescent="0.25">
      <c r="A406" s="313"/>
      <c r="B406" s="212"/>
      <c r="C406" s="315"/>
      <c r="D406" s="315"/>
      <c r="E406" s="347"/>
      <c r="F406" s="211"/>
      <c r="H406" s="337"/>
      <c r="I406" s="111"/>
    </row>
    <row r="407" spans="1:9" hidden="1" x14ac:dyDescent="0.25">
      <c r="A407" s="313"/>
      <c r="B407" s="212"/>
      <c r="C407" s="315"/>
      <c r="D407" s="315"/>
      <c r="E407" s="347"/>
      <c r="F407" s="211"/>
      <c r="H407" s="337"/>
      <c r="I407" s="111"/>
    </row>
    <row r="408" spans="1:9" hidden="1" x14ac:dyDescent="0.25">
      <c r="A408" s="313"/>
      <c r="B408" s="212"/>
      <c r="C408" s="315"/>
      <c r="D408" s="315"/>
      <c r="E408" s="347"/>
      <c r="F408" s="211"/>
      <c r="H408" s="337"/>
      <c r="I408" s="111"/>
    </row>
    <row r="409" spans="1:9" hidden="1" x14ac:dyDescent="0.25">
      <c r="A409" s="313"/>
      <c r="B409" s="212"/>
      <c r="C409" s="315"/>
      <c r="D409" s="315"/>
      <c r="E409" s="347"/>
      <c r="F409" s="211"/>
      <c r="H409" s="337"/>
      <c r="I409" s="111"/>
    </row>
    <row r="410" spans="1:9" hidden="1" x14ac:dyDescent="0.25">
      <c r="A410" s="313"/>
      <c r="B410" s="212"/>
      <c r="C410" s="315"/>
      <c r="D410" s="315"/>
      <c r="E410" s="347"/>
      <c r="F410" s="211"/>
      <c r="H410" s="337"/>
      <c r="I410" s="111"/>
    </row>
    <row r="411" spans="1:9" hidden="1" x14ac:dyDescent="0.25">
      <c r="A411" s="313"/>
      <c r="B411" s="212"/>
      <c r="C411" s="315"/>
      <c r="D411" s="315"/>
      <c r="E411" s="347"/>
      <c r="F411" s="211"/>
      <c r="H411" s="337"/>
      <c r="I411" s="111"/>
    </row>
    <row r="412" spans="1:9" hidden="1" x14ac:dyDescent="0.25">
      <c r="A412" s="313"/>
      <c r="B412" s="212"/>
      <c r="C412" s="315"/>
      <c r="D412" s="315"/>
      <c r="E412" s="347"/>
      <c r="F412" s="211"/>
      <c r="H412" s="337"/>
      <c r="I412" s="111"/>
    </row>
    <row r="413" spans="1:9" hidden="1" x14ac:dyDescent="0.25">
      <c r="A413" s="313"/>
      <c r="B413" s="212"/>
      <c r="C413" s="315"/>
      <c r="D413" s="315"/>
      <c r="E413" s="347"/>
      <c r="F413" s="211"/>
      <c r="H413" s="337"/>
      <c r="I413" s="111"/>
    </row>
    <row r="414" spans="1:9" hidden="1" x14ac:dyDescent="0.25">
      <c r="A414" s="313"/>
      <c r="B414" s="212"/>
      <c r="C414" s="315"/>
      <c r="D414" s="315"/>
      <c r="E414" s="347"/>
      <c r="F414" s="211"/>
      <c r="H414" s="337"/>
      <c r="I414" s="111"/>
    </row>
    <row r="415" spans="1:9" hidden="1" x14ac:dyDescent="0.25">
      <c r="A415" s="313"/>
      <c r="B415" s="212"/>
      <c r="C415" s="315"/>
      <c r="D415" s="315"/>
      <c r="E415" s="347"/>
      <c r="F415" s="211"/>
      <c r="H415" s="337"/>
      <c r="I415" s="111"/>
    </row>
    <row r="416" spans="1:9" hidden="1" x14ac:dyDescent="0.25">
      <c r="A416" s="313"/>
      <c r="B416" s="212"/>
      <c r="C416" s="315"/>
      <c r="D416" s="315"/>
      <c r="E416" s="347"/>
      <c r="F416" s="211"/>
      <c r="H416" s="337"/>
      <c r="I416" s="111"/>
    </row>
    <row r="417" spans="1:9" hidden="1" x14ac:dyDescent="0.25">
      <c r="A417" s="313"/>
      <c r="B417" s="212"/>
      <c r="C417" s="315"/>
      <c r="D417" s="315"/>
      <c r="E417" s="347"/>
      <c r="F417" s="211"/>
      <c r="H417" s="337"/>
      <c r="I417" s="111"/>
    </row>
    <row r="418" spans="1:9" hidden="1" x14ac:dyDescent="0.25">
      <c r="A418" s="313"/>
      <c r="B418" s="212"/>
      <c r="C418" s="315"/>
      <c r="D418" s="315"/>
      <c r="E418" s="347"/>
      <c r="F418" s="211"/>
      <c r="H418" s="337"/>
      <c r="I418" s="111"/>
    </row>
    <row r="419" spans="1:9" hidden="1" x14ac:dyDescent="0.25">
      <c r="A419" s="313"/>
      <c r="B419" s="212"/>
      <c r="C419" s="315"/>
      <c r="D419" s="315"/>
      <c r="E419" s="347"/>
      <c r="F419" s="211"/>
      <c r="H419" s="337"/>
      <c r="I419" s="111"/>
    </row>
    <row r="420" spans="1:9" hidden="1" x14ac:dyDescent="0.25">
      <c r="A420" s="313"/>
      <c r="B420" s="212"/>
      <c r="C420" s="315"/>
      <c r="D420" s="315"/>
      <c r="E420" s="347"/>
      <c r="F420" s="211"/>
      <c r="H420" s="337"/>
      <c r="I420" s="111"/>
    </row>
    <row r="421" spans="1:9" hidden="1" x14ac:dyDescent="0.25">
      <c r="A421" s="313"/>
      <c r="B421" s="212"/>
      <c r="C421" s="315"/>
      <c r="D421" s="315"/>
      <c r="E421" s="347"/>
      <c r="F421" s="211"/>
      <c r="H421" s="337"/>
      <c r="I421" s="111"/>
    </row>
    <row r="422" spans="1:9" hidden="1" x14ac:dyDescent="0.25">
      <c r="A422" s="313"/>
      <c r="B422" s="212"/>
      <c r="C422" s="315"/>
      <c r="D422" s="315"/>
      <c r="E422" s="347"/>
      <c r="F422" s="211"/>
      <c r="H422" s="337"/>
      <c r="I422" s="111"/>
    </row>
    <row r="423" spans="1:9" ht="15" hidden="1" customHeight="1" x14ac:dyDescent="0.25">
      <c r="A423" s="313"/>
      <c r="B423" s="212"/>
      <c r="C423" s="315"/>
      <c r="D423" s="315"/>
      <c r="E423" s="347"/>
      <c r="F423" s="211"/>
      <c r="H423" s="337"/>
      <c r="I423" s="111"/>
    </row>
    <row r="424" spans="1:9" hidden="1" x14ac:dyDescent="0.25">
      <c r="A424" s="313"/>
      <c r="B424" s="212"/>
      <c r="C424" s="315"/>
      <c r="D424" s="315"/>
      <c r="E424" s="347"/>
      <c r="F424" s="211"/>
      <c r="H424" s="337"/>
      <c r="I424" s="111"/>
    </row>
    <row r="425" spans="1:9" hidden="1" x14ac:dyDescent="0.25">
      <c r="A425" s="313"/>
      <c r="B425" s="212"/>
      <c r="C425" s="315"/>
      <c r="D425" s="315"/>
      <c r="E425" s="347"/>
      <c r="F425" s="211"/>
      <c r="H425" s="337"/>
      <c r="I425" s="111"/>
    </row>
    <row r="426" spans="1:9" hidden="1" x14ac:dyDescent="0.25">
      <c r="A426" s="313"/>
      <c r="B426" s="212"/>
      <c r="C426" s="315"/>
      <c r="D426" s="315"/>
      <c r="E426" s="347"/>
      <c r="F426" s="211"/>
      <c r="H426" s="337"/>
      <c r="I426" s="111"/>
    </row>
    <row r="427" spans="1:9" hidden="1" x14ac:dyDescent="0.25">
      <c r="A427" s="313"/>
      <c r="B427" s="212"/>
      <c r="C427" s="315"/>
      <c r="D427" s="315"/>
      <c r="E427" s="347"/>
      <c r="F427" s="211"/>
      <c r="H427" s="337"/>
      <c r="I427" s="111"/>
    </row>
    <row r="428" spans="1:9" hidden="1" x14ac:dyDescent="0.25">
      <c r="A428" s="313"/>
      <c r="B428" s="212"/>
      <c r="C428" s="315"/>
      <c r="D428" s="315"/>
      <c r="E428" s="347"/>
      <c r="F428" s="211"/>
      <c r="H428" s="337"/>
      <c r="I428" s="111"/>
    </row>
    <row r="429" spans="1:9" hidden="1" x14ac:dyDescent="0.25">
      <c r="A429" s="313"/>
      <c r="B429" s="212"/>
      <c r="C429" s="339"/>
      <c r="D429" s="315"/>
      <c r="E429" s="347"/>
      <c r="F429" s="211"/>
      <c r="H429" s="337"/>
      <c r="I429" s="111"/>
    </row>
    <row r="430" spans="1:9" hidden="1" x14ac:dyDescent="0.25">
      <c r="A430" s="313"/>
      <c r="B430" s="212"/>
      <c r="C430" s="339"/>
      <c r="D430" s="315"/>
      <c r="E430" s="347"/>
      <c r="F430" s="211"/>
      <c r="H430" s="337"/>
      <c r="I430" s="111"/>
    </row>
    <row r="431" spans="1:9" hidden="1" x14ac:dyDescent="0.25">
      <c r="A431" s="313"/>
      <c r="B431" s="212"/>
      <c r="C431" s="339"/>
      <c r="D431" s="315"/>
      <c r="E431" s="347"/>
      <c r="F431" s="211"/>
      <c r="H431" s="337"/>
      <c r="I431" s="111"/>
    </row>
    <row r="432" spans="1:9" hidden="1" x14ac:dyDescent="0.25">
      <c r="A432" s="313"/>
      <c r="B432" s="212"/>
      <c r="C432" s="339"/>
      <c r="D432" s="315"/>
      <c r="E432" s="347"/>
      <c r="F432" s="211"/>
      <c r="H432" s="337"/>
      <c r="I432" s="111"/>
    </row>
    <row r="433" spans="1:9" hidden="1" x14ac:dyDescent="0.25">
      <c r="A433" s="313"/>
      <c r="B433" s="212"/>
      <c r="C433" s="339"/>
      <c r="D433" s="315"/>
      <c r="E433" s="347"/>
      <c r="F433" s="211"/>
      <c r="H433" s="337"/>
      <c r="I433" s="111"/>
    </row>
    <row r="434" spans="1:9" hidden="1" x14ac:dyDescent="0.25">
      <c r="A434" s="313"/>
      <c r="B434" s="212"/>
      <c r="C434" s="315"/>
      <c r="D434" s="315"/>
      <c r="E434" s="347"/>
      <c r="F434" s="211"/>
      <c r="H434" s="337"/>
      <c r="I434" s="111"/>
    </row>
    <row r="435" spans="1:9" hidden="1" x14ac:dyDescent="0.25">
      <c r="A435" s="313"/>
      <c r="B435" s="212"/>
      <c r="C435" s="315"/>
      <c r="D435" s="315"/>
      <c r="E435" s="347"/>
      <c r="F435" s="211"/>
      <c r="H435" s="337"/>
      <c r="I435" s="111"/>
    </row>
    <row r="436" spans="1:9" hidden="1" x14ac:dyDescent="0.25">
      <c r="A436" s="313"/>
      <c r="B436" s="212"/>
      <c r="C436" s="315"/>
      <c r="D436" s="315"/>
      <c r="E436" s="347"/>
      <c r="F436" s="211"/>
      <c r="H436" s="337"/>
      <c r="I436" s="111"/>
    </row>
    <row r="437" spans="1:9" hidden="1" x14ac:dyDescent="0.25">
      <c r="A437" s="313"/>
      <c r="B437" s="212"/>
      <c r="C437" s="315"/>
      <c r="D437" s="315"/>
      <c r="E437" s="347"/>
      <c r="F437" s="211"/>
      <c r="H437" s="337"/>
      <c r="I437" s="111"/>
    </row>
    <row r="438" spans="1:9" hidden="1" x14ac:dyDescent="0.25">
      <c r="A438" s="313"/>
      <c r="B438" s="212"/>
      <c r="C438" s="315"/>
      <c r="D438" s="315"/>
      <c r="E438" s="347"/>
      <c r="F438" s="211"/>
      <c r="H438" s="337"/>
      <c r="I438" s="111"/>
    </row>
    <row r="439" spans="1:9" hidden="1" x14ac:dyDescent="0.25">
      <c r="A439" s="313"/>
      <c r="B439" s="212"/>
      <c r="C439" s="315"/>
      <c r="D439" s="315"/>
      <c r="E439" s="347"/>
      <c r="F439" s="211"/>
      <c r="H439" s="337"/>
      <c r="I439" s="111"/>
    </row>
    <row r="440" spans="1:9" hidden="1" x14ac:dyDescent="0.25">
      <c r="A440" s="313"/>
      <c r="B440" s="212"/>
      <c r="C440" s="315"/>
      <c r="D440" s="315"/>
      <c r="E440" s="347"/>
      <c r="F440" s="211"/>
      <c r="H440" s="337"/>
      <c r="I440" s="111"/>
    </row>
    <row r="441" spans="1:9" hidden="1" x14ac:dyDescent="0.25">
      <c r="A441" s="313"/>
      <c r="B441" s="212"/>
      <c r="C441" s="315"/>
      <c r="D441" s="315"/>
      <c r="E441" s="347"/>
      <c r="F441" s="211"/>
      <c r="H441" s="337"/>
      <c r="I441" s="111"/>
    </row>
    <row r="442" spans="1:9" hidden="1" x14ac:dyDescent="0.25">
      <c r="A442" s="313"/>
      <c r="B442" s="212"/>
      <c r="C442" s="315"/>
      <c r="D442" s="315"/>
      <c r="E442" s="347"/>
      <c r="F442" s="211"/>
      <c r="H442" s="337"/>
      <c r="I442" s="111"/>
    </row>
    <row r="443" spans="1:9" hidden="1" x14ac:dyDescent="0.25">
      <c r="A443" s="313"/>
      <c r="B443" s="212"/>
      <c r="C443" s="315"/>
      <c r="D443" s="315"/>
      <c r="E443" s="347"/>
      <c r="F443" s="211"/>
      <c r="H443" s="337"/>
      <c r="I443" s="111"/>
    </row>
    <row r="444" spans="1:9" hidden="1" x14ac:dyDescent="0.25">
      <c r="A444" s="313"/>
      <c r="B444" s="212"/>
      <c r="C444" s="339"/>
      <c r="D444" s="315"/>
      <c r="E444" s="347"/>
      <c r="F444" s="211"/>
      <c r="H444" s="337"/>
      <c r="I444" s="111"/>
    </row>
    <row r="445" spans="1:9" hidden="1" x14ac:dyDescent="0.25">
      <c r="A445" s="313"/>
      <c r="B445" s="212"/>
      <c r="C445" s="339"/>
      <c r="D445" s="315"/>
      <c r="E445" s="347"/>
      <c r="F445" s="211"/>
      <c r="H445" s="337"/>
      <c r="I445" s="111"/>
    </row>
    <row r="446" spans="1:9" hidden="1" x14ac:dyDescent="0.25">
      <c r="A446" s="313"/>
      <c r="B446" s="212"/>
      <c r="C446" s="339"/>
      <c r="D446" s="315"/>
      <c r="E446" s="347"/>
      <c r="F446" s="211"/>
      <c r="H446" s="337"/>
      <c r="I446" s="111"/>
    </row>
    <row r="447" spans="1:9" hidden="1" x14ac:dyDescent="0.25">
      <c r="A447" s="313"/>
      <c r="B447" s="212"/>
      <c r="C447" s="339"/>
      <c r="D447" s="315"/>
      <c r="E447" s="347"/>
      <c r="F447" s="211"/>
      <c r="H447" s="337"/>
      <c r="I447" s="111"/>
    </row>
    <row r="448" spans="1:9" hidden="1" x14ac:dyDescent="0.25">
      <c r="A448" s="313"/>
      <c r="B448" s="212"/>
      <c r="C448" s="315"/>
      <c r="D448" s="315"/>
      <c r="E448" s="347"/>
      <c r="F448" s="211"/>
      <c r="H448" s="337"/>
      <c r="I448" s="111"/>
    </row>
    <row r="449" spans="1:9" hidden="1" x14ac:dyDescent="0.25">
      <c r="A449" s="313"/>
      <c r="B449" s="212"/>
      <c r="C449" s="315"/>
      <c r="D449" s="315"/>
      <c r="E449" s="347"/>
      <c r="F449" s="211"/>
      <c r="H449" s="337"/>
      <c r="I449" s="111"/>
    </row>
    <row r="450" spans="1:9" hidden="1" x14ac:dyDescent="0.25">
      <c r="A450" s="313"/>
      <c r="B450" s="212"/>
      <c r="C450" s="315"/>
      <c r="D450" s="315"/>
      <c r="E450" s="347"/>
      <c r="F450" s="211"/>
      <c r="H450" s="337"/>
      <c r="I450" s="111"/>
    </row>
    <row r="451" spans="1:9" hidden="1" x14ac:dyDescent="0.25">
      <c r="A451" s="313"/>
      <c r="B451" s="212"/>
      <c r="C451" s="315"/>
      <c r="D451" s="315"/>
      <c r="E451" s="347"/>
      <c r="F451" s="211"/>
      <c r="H451" s="337"/>
      <c r="I451" s="111"/>
    </row>
    <row r="452" spans="1:9" hidden="1" x14ac:dyDescent="0.25">
      <c r="A452" s="313"/>
      <c r="B452" s="212"/>
      <c r="C452" s="315"/>
      <c r="D452" s="315"/>
      <c r="E452" s="347"/>
      <c r="F452" s="211"/>
      <c r="H452" s="337"/>
      <c r="I452" s="111"/>
    </row>
    <row r="453" spans="1:9" hidden="1" x14ac:dyDescent="0.25">
      <c r="A453" s="313"/>
      <c r="B453" s="212"/>
      <c r="C453" s="315"/>
      <c r="D453" s="315"/>
      <c r="E453" s="347"/>
      <c r="F453" s="211"/>
      <c r="H453" s="337"/>
      <c r="I453" s="111"/>
    </row>
    <row r="454" spans="1:9" hidden="1" x14ac:dyDescent="0.25">
      <c r="A454" s="313"/>
      <c r="B454" s="212"/>
      <c r="C454" s="315"/>
      <c r="D454" s="315"/>
      <c r="E454" s="347"/>
      <c r="F454" s="211"/>
      <c r="H454" s="337"/>
      <c r="I454" s="111"/>
    </row>
    <row r="455" spans="1:9" hidden="1" x14ac:dyDescent="0.25">
      <c r="A455" s="313"/>
      <c r="B455" s="212"/>
      <c r="C455" s="315"/>
      <c r="D455" s="315"/>
      <c r="E455" s="347"/>
      <c r="F455" s="211"/>
      <c r="H455" s="337"/>
      <c r="I455" s="111"/>
    </row>
    <row r="456" spans="1:9" hidden="1" x14ac:dyDescent="0.25">
      <c r="A456" s="313"/>
      <c r="B456" s="212"/>
      <c r="C456" s="315"/>
      <c r="D456" s="315"/>
      <c r="E456" s="347"/>
      <c r="F456" s="211"/>
      <c r="H456" s="337"/>
      <c r="I456" s="111"/>
    </row>
    <row r="457" spans="1:9" hidden="1" x14ac:dyDescent="0.25">
      <c r="A457" s="313"/>
      <c r="B457" s="212"/>
      <c r="C457" s="315"/>
      <c r="D457" s="315"/>
      <c r="E457" s="347"/>
      <c r="F457" s="211"/>
      <c r="H457" s="337"/>
      <c r="I457" s="111"/>
    </row>
    <row r="458" spans="1:9" hidden="1" x14ac:dyDescent="0.25">
      <c r="A458" s="313"/>
      <c r="B458" s="212"/>
      <c r="C458" s="339"/>
      <c r="D458" s="315"/>
      <c r="E458" s="347"/>
      <c r="F458" s="211"/>
      <c r="H458" s="337"/>
      <c r="I458" s="111"/>
    </row>
    <row r="459" spans="1:9" hidden="1" x14ac:dyDescent="0.25">
      <c r="A459" s="313"/>
      <c r="B459" s="212"/>
      <c r="C459" s="315"/>
      <c r="D459" s="315"/>
      <c r="E459" s="347"/>
      <c r="F459" s="211"/>
      <c r="H459" s="337"/>
      <c r="I459" s="111"/>
    </row>
    <row r="460" spans="1:9" hidden="1" x14ac:dyDescent="0.25">
      <c r="A460" s="313"/>
      <c r="B460" s="212"/>
      <c r="C460" s="207"/>
      <c r="D460" s="315"/>
      <c r="E460" s="347"/>
      <c r="F460" s="211"/>
      <c r="H460" s="337"/>
      <c r="I460" s="111"/>
    </row>
    <row r="461" spans="1:9" hidden="1" x14ac:dyDescent="0.25">
      <c r="A461" s="313"/>
      <c r="B461" s="212"/>
      <c r="C461" s="207"/>
      <c r="D461" s="315"/>
      <c r="E461" s="347"/>
      <c r="F461" s="211"/>
      <c r="H461" s="337"/>
      <c r="I461" s="111"/>
    </row>
    <row r="462" spans="1:9" hidden="1" x14ac:dyDescent="0.25">
      <c r="A462" s="313"/>
      <c r="B462" s="212"/>
      <c r="C462" s="207"/>
      <c r="D462" s="315"/>
      <c r="E462" s="347"/>
      <c r="F462" s="211"/>
      <c r="H462" s="337"/>
      <c r="I462" s="111"/>
    </row>
    <row r="463" spans="1:9" hidden="1" x14ac:dyDescent="0.25">
      <c r="A463" s="313"/>
      <c r="B463" s="212"/>
      <c r="C463" s="207"/>
      <c r="D463" s="315"/>
      <c r="E463" s="347"/>
      <c r="F463" s="211"/>
      <c r="H463" s="337"/>
      <c r="I463" s="111"/>
    </row>
    <row r="464" spans="1:9" hidden="1" x14ac:dyDescent="0.25">
      <c r="A464" s="313"/>
      <c r="B464" s="212"/>
      <c r="C464" s="207"/>
      <c r="D464" s="315"/>
      <c r="E464" s="347"/>
      <c r="F464" s="211"/>
      <c r="H464" s="337"/>
      <c r="I464" s="111"/>
    </row>
    <row r="465" spans="1:9" hidden="1" x14ac:dyDescent="0.25">
      <c r="A465" s="313"/>
      <c r="B465" s="212"/>
      <c r="C465" s="207"/>
      <c r="D465" s="315"/>
      <c r="E465" s="347"/>
      <c r="F465" s="211"/>
      <c r="H465" s="337"/>
      <c r="I465" s="111"/>
    </row>
    <row r="466" spans="1:9" hidden="1" x14ac:dyDescent="0.25">
      <c r="A466" s="313"/>
      <c r="B466" s="212"/>
      <c r="C466" s="207"/>
      <c r="D466" s="315"/>
      <c r="E466" s="347"/>
      <c r="F466" s="211"/>
      <c r="H466" s="337"/>
      <c r="I466" s="111"/>
    </row>
    <row r="467" spans="1:9" hidden="1" x14ac:dyDescent="0.25">
      <c r="A467" s="313"/>
      <c r="B467" s="212"/>
      <c r="C467" s="207"/>
      <c r="D467" s="315"/>
      <c r="E467" s="347"/>
      <c r="F467" s="211"/>
      <c r="H467" s="337"/>
      <c r="I467" s="111"/>
    </row>
    <row r="468" spans="1:9" hidden="1" x14ac:dyDescent="0.25">
      <c r="A468" s="313"/>
      <c r="B468" s="212"/>
      <c r="C468" s="207"/>
      <c r="D468" s="315"/>
      <c r="E468" s="347"/>
      <c r="F468" s="211"/>
      <c r="H468" s="337"/>
      <c r="I468" s="111"/>
    </row>
    <row r="469" spans="1:9" hidden="1" x14ac:dyDescent="0.25">
      <c r="A469" s="313"/>
      <c r="B469" s="212"/>
      <c r="C469" s="207"/>
      <c r="D469" s="315"/>
      <c r="E469" s="347"/>
      <c r="F469" s="211"/>
      <c r="H469" s="337"/>
      <c r="I469" s="111"/>
    </row>
    <row r="470" spans="1:9" hidden="1" x14ac:dyDescent="0.25">
      <c r="A470" s="313"/>
      <c r="B470" s="212"/>
      <c r="C470" s="207"/>
      <c r="D470" s="315"/>
      <c r="E470" s="347"/>
      <c r="F470" s="211"/>
      <c r="H470" s="337"/>
      <c r="I470" s="111"/>
    </row>
    <row r="471" spans="1:9" hidden="1" x14ac:dyDescent="0.25">
      <c r="A471" s="313"/>
      <c r="B471" s="212"/>
      <c r="C471" s="207"/>
      <c r="D471" s="315"/>
      <c r="E471" s="347"/>
      <c r="F471" s="211"/>
      <c r="H471" s="337"/>
      <c r="I471" s="111"/>
    </row>
    <row r="472" spans="1:9" hidden="1" x14ac:dyDescent="0.25">
      <c r="A472" s="313"/>
      <c r="B472" s="212"/>
      <c r="C472" s="207"/>
      <c r="D472" s="315"/>
      <c r="E472" s="347"/>
      <c r="F472" s="211"/>
      <c r="H472" s="337"/>
      <c r="I472" s="111"/>
    </row>
    <row r="473" spans="1:9" hidden="1" x14ac:dyDescent="0.25">
      <c r="A473" s="313"/>
      <c r="B473" s="212"/>
      <c r="C473" s="207"/>
      <c r="D473" s="315"/>
      <c r="E473" s="347"/>
      <c r="F473" s="211"/>
      <c r="H473" s="337"/>
      <c r="I473" s="111"/>
    </row>
    <row r="474" spans="1:9" hidden="1" x14ac:dyDescent="0.25">
      <c r="A474" s="313"/>
      <c r="B474" s="212"/>
      <c r="C474" s="207"/>
      <c r="D474" s="315"/>
      <c r="E474" s="347"/>
      <c r="F474" s="211"/>
      <c r="H474" s="337"/>
      <c r="I474" s="111"/>
    </row>
    <row r="475" spans="1:9" hidden="1" x14ac:dyDescent="0.25">
      <c r="A475" s="313"/>
      <c r="B475" s="212"/>
      <c r="C475" s="207"/>
      <c r="D475" s="315"/>
      <c r="E475" s="347"/>
      <c r="F475" s="211"/>
      <c r="H475" s="337"/>
      <c r="I475" s="111"/>
    </row>
    <row r="476" spans="1:9" hidden="1" x14ac:dyDescent="0.25">
      <c r="A476" s="313"/>
      <c r="B476" s="212"/>
      <c r="C476" s="207"/>
      <c r="D476" s="315"/>
      <c r="E476" s="347"/>
      <c r="F476" s="211"/>
      <c r="H476" s="337"/>
      <c r="I476" s="111"/>
    </row>
    <row r="477" spans="1:9" hidden="1" x14ac:dyDescent="0.25">
      <c r="A477" s="313"/>
      <c r="B477" s="212"/>
      <c r="C477" s="207"/>
      <c r="D477" s="315"/>
      <c r="E477" s="347"/>
      <c r="F477" s="211"/>
      <c r="H477" s="337"/>
      <c r="I477" s="111"/>
    </row>
    <row r="478" spans="1:9" hidden="1" x14ac:dyDescent="0.25">
      <c r="A478" s="313"/>
      <c r="B478" s="212"/>
      <c r="C478" s="207"/>
      <c r="D478" s="315"/>
      <c r="E478" s="347"/>
      <c r="F478" s="211"/>
      <c r="H478" s="337"/>
      <c r="I478" s="111"/>
    </row>
    <row r="479" spans="1:9" hidden="1" x14ac:dyDescent="0.25">
      <c r="A479" s="313"/>
      <c r="B479" s="212"/>
      <c r="C479" s="207"/>
      <c r="D479" s="315"/>
      <c r="E479" s="347"/>
      <c r="F479" s="211"/>
      <c r="H479" s="337"/>
      <c r="I479" s="111"/>
    </row>
    <row r="480" spans="1:9" hidden="1" x14ac:dyDescent="0.25">
      <c r="A480" s="313"/>
      <c r="B480" s="212"/>
      <c r="C480" s="207"/>
      <c r="D480" s="315"/>
      <c r="E480" s="347"/>
      <c r="F480" s="211"/>
      <c r="H480" s="337"/>
      <c r="I480" s="111"/>
    </row>
    <row r="481" spans="1:9" hidden="1" x14ac:dyDescent="0.25">
      <c r="A481" s="313"/>
      <c r="B481" s="212"/>
      <c r="C481" s="207"/>
      <c r="D481" s="315"/>
      <c r="E481" s="347"/>
      <c r="F481" s="211"/>
      <c r="H481" s="337"/>
      <c r="I481" s="111"/>
    </row>
    <row r="482" spans="1:9" hidden="1" x14ac:dyDescent="0.25">
      <c r="A482" s="313"/>
      <c r="B482" s="212"/>
      <c r="C482" s="207"/>
      <c r="D482" s="315"/>
      <c r="E482" s="347"/>
      <c r="F482" s="211"/>
      <c r="H482" s="337"/>
      <c r="I482" s="111"/>
    </row>
    <row r="483" spans="1:9" hidden="1" x14ac:dyDescent="0.25">
      <c r="A483" s="313"/>
      <c r="B483" s="212"/>
      <c r="C483" s="207"/>
      <c r="D483" s="315"/>
      <c r="E483" s="347"/>
      <c r="F483" s="211"/>
      <c r="H483" s="337"/>
      <c r="I483" s="111"/>
    </row>
    <row r="484" spans="1:9" hidden="1" x14ac:dyDescent="0.25">
      <c r="A484" s="313"/>
      <c r="B484" s="212"/>
      <c r="C484" s="207"/>
      <c r="D484" s="315"/>
      <c r="E484" s="347"/>
      <c r="F484" s="211"/>
      <c r="H484" s="337"/>
      <c r="I484" s="111"/>
    </row>
    <row r="485" spans="1:9" hidden="1" x14ac:dyDescent="0.25">
      <c r="A485" s="313"/>
      <c r="B485" s="212"/>
      <c r="C485" s="207"/>
      <c r="D485" s="315"/>
      <c r="E485" s="347"/>
      <c r="F485" s="211"/>
      <c r="H485" s="337"/>
      <c r="I485" s="111"/>
    </row>
    <row r="486" spans="1:9" hidden="1" x14ac:dyDescent="0.25">
      <c r="A486" s="313"/>
      <c r="B486" s="212"/>
      <c r="C486" s="207"/>
      <c r="D486" s="315"/>
      <c r="E486" s="347"/>
      <c r="F486" s="211"/>
      <c r="H486" s="337"/>
      <c r="I486" s="111"/>
    </row>
    <row r="487" spans="1:9" hidden="1" x14ac:dyDescent="0.25">
      <c r="A487" s="313"/>
      <c r="B487" s="212"/>
      <c r="C487" s="207"/>
      <c r="D487" s="315"/>
      <c r="E487" s="347"/>
      <c r="F487" s="211"/>
      <c r="H487" s="337"/>
      <c r="I487" s="111"/>
    </row>
    <row r="488" spans="1:9" hidden="1" x14ac:dyDescent="0.25">
      <c r="A488" s="313"/>
      <c r="B488" s="212"/>
      <c r="C488" s="207"/>
      <c r="D488" s="315"/>
      <c r="E488" s="347"/>
      <c r="F488" s="211"/>
      <c r="H488" s="337"/>
      <c r="I488" s="111"/>
    </row>
    <row r="489" spans="1:9" hidden="1" x14ac:dyDescent="0.25">
      <c r="A489" s="313"/>
      <c r="B489" s="212"/>
      <c r="C489" s="207"/>
      <c r="D489" s="315"/>
      <c r="E489" s="347"/>
      <c r="F489" s="211"/>
      <c r="H489" s="337"/>
      <c r="I489" s="111"/>
    </row>
    <row r="490" spans="1:9" hidden="1" x14ac:dyDescent="0.25">
      <c r="A490" s="313"/>
      <c r="B490" s="212"/>
      <c r="C490" s="207"/>
      <c r="D490" s="315"/>
      <c r="E490" s="347"/>
      <c r="F490" s="211"/>
      <c r="H490" s="337"/>
      <c r="I490" s="111"/>
    </row>
    <row r="491" spans="1:9" hidden="1" x14ac:dyDescent="0.25">
      <c r="A491" s="313"/>
      <c r="B491" s="212"/>
      <c r="C491" s="207"/>
      <c r="D491" s="315"/>
      <c r="E491" s="347"/>
      <c r="F491" s="211"/>
      <c r="H491" s="337"/>
      <c r="I491" s="111"/>
    </row>
    <row r="492" spans="1:9" hidden="1" x14ac:dyDescent="0.25">
      <c r="A492" s="313"/>
      <c r="B492" s="212"/>
      <c r="C492" s="207"/>
      <c r="D492" s="315"/>
      <c r="E492" s="347"/>
      <c r="F492" s="211"/>
      <c r="H492" s="337"/>
      <c r="I492" s="111"/>
    </row>
    <row r="493" spans="1:9" hidden="1" x14ac:dyDescent="0.25">
      <c r="A493" s="313"/>
      <c r="B493" s="212"/>
      <c r="C493" s="207"/>
      <c r="D493" s="315"/>
      <c r="E493" s="347"/>
      <c r="F493" s="211"/>
      <c r="H493" s="337"/>
      <c r="I493" s="111"/>
    </row>
    <row r="494" spans="1:9" hidden="1" x14ac:dyDescent="0.25">
      <c r="A494" s="313"/>
      <c r="B494" s="212"/>
      <c r="C494" s="207"/>
      <c r="D494" s="315"/>
      <c r="E494" s="347"/>
      <c r="F494" s="211"/>
      <c r="H494" s="337"/>
      <c r="I494" s="111"/>
    </row>
    <row r="495" spans="1:9" hidden="1" x14ac:dyDescent="0.25">
      <c r="A495" s="313"/>
      <c r="B495" s="212"/>
      <c r="C495" s="207"/>
      <c r="D495" s="315"/>
      <c r="E495" s="347"/>
      <c r="F495" s="211"/>
      <c r="H495" s="337"/>
      <c r="I495" s="111"/>
    </row>
    <row r="496" spans="1:9" hidden="1" x14ac:dyDescent="0.25">
      <c r="A496" s="313"/>
      <c r="B496" s="212"/>
      <c r="C496" s="207"/>
      <c r="D496" s="315"/>
      <c r="E496" s="347"/>
      <c r="F496" s="211"/>
      <c r="H496" s="337"/>
      <c r="I496" s="111"/>
    </row>
    <row r="497" spans="1:9" hidden="1" x14ac:dyDescent="0.25">
      <c r="A497" s="313"/>
      <c r="B497" s="212"/>
      <c r="C497" s="207"/>
      <c r="D497" s="315"/>
      <c r="E497" s="347"/>
      <c r="F497" s="211"/>
      <c r="H497" s="337"/>
      <c r="I497" s="111"/>
    </row>
    <row r="498" spans="1:9" hidden="1" x14ac:dyDescent="0.25">
      <c r="A498" s="313"/>
      <c r="B498" s="212"/>
      <c r="C498" s="207"/>
      <c r="D498" s="315"/>
      <c r="E498" s="347"/>
      <c r="F498" s="211"/>
      <c r="H498" s="337"/>
      <c r="I498" s="111"/>
    </row>
    <row r="499" spans="1:9" hidden="1" x14ac:dyDescent="0.25">
      <c r="A499" s="313"/>
      <c r="B499" s="212"/>
      <c r="C499" s="207"/>
      <c r="D499" s="315"/>
      <c r="E499" s="347"/>
      <c r="F499" s="211"/>
      <c r="H499" s="337"/>
      <c r="I499" s="111"/>
    </row>
    <row r="500" spans="1:9" hidden="1" x14ac:dyDescent="0.25">
      <c r="A500" s="313"/>
      <c r="B500" s="212"/>
      <c r="C500" s="207"/>
      <c r="D500" s="315"/>
      <c r="E500" s="347"/>
      <c r="F500" s="211"/>
      <c r="H500" s="337"/>
      <c r="I500" s="111"/>
    </row>
    <row r="501" spans="1:9" hidden="1" x14ac:dyDescent="0.25">
      <c r="A501" s="313"/>
      <c r="B501" s="212"/>
      <c r="C501" s="207"/>
      <c r="D501" s="315"/>
      <c r="E501" s="347"/>
      <c r="F501" s="211"/>
      <c r="H501" s="337"/>
      <c r="I501" s="111"/>
    </row>
    <row r="502" spans="1:9" hidden="1" x14ac:dyDescent="0.25">
      <c r="A502" s="333"/>
      <c r="B502" s="302"/>
      <c r="C502" s="207"/>
      <c r="D502" s="316"/>
      <c r="E502" s="347"/>
      <c r="F502" s="303"/>
      <c r="H502" s="337"/>
      <c r="I502" s="111"/>
    </row>
    <row r="503" spans="1:9" hidden="1" x14ac:dyDescent="0.25">
      <c r="A503" s="315"/>
      <c r="B503" s="212"/>
      <c r="C503" s="315"/>
      <c r="D503" s="316"/>
      <c r="E503" s="347"/>
      <c r="F503" s="303"/>
      <c r="H503" s="337"/>
      <c r="I503" s="111"/>
    </row>
    <row r="504" spans="1:9" hidden="1" x14ac:dyDescent="0.25">
      <c r="A504" s="315"/>
      <c r="B504" s="212"/>
      <c r="C504" s="315"/>
      <c r="D504" s="316"/>
      <c r="E504" s="347"/>
      <c r="F504" s="303"/>
      <c r="H504" s="337"/>
      <c r="I504" s="111"/>
    </row>
    <row r="505" spans="1:9" hidden="1" x14ac:dyDescent="0.25">
      <c r="A505" s="315"/>
      <c r="B505" s="212"/>
      <c r="C505" s="315"/>
      <c r="D505" s="316"/>
      <c r="E505" s="347"/>
      <c r="F505" s="303"/>
      <c r="H505" s="337"/>
      <c r="I505" s="111"/>
    </row>
    <row r="506" spans="1:9" hidden="1" x14ac:dyDescent="0.25">
      <c r="A506" s="315"/>
      <c r="B506" s="212"/>
      <c r="C506" s="315"/>
      <c r="D506" s="316"/>
      <c r="E506" s="347"/>
      <c r="F506" s="303"/>
      <c r="H506" s="337"/>
      <c r="I506" s="111"/>
    </row>
    <row r="507" spans="1:9" hidden="1" x14ac:dyDescent="0.25">
      <c r="A507" s="315"/>
      <c r="B507" s="212"/>
      <c r="C507" s="315"/>
      <c r="D507" s="316"/>
      <c r="E507" s="347"/>
      <c r="F507" s="303"/>
      <c r="H507" s="337"/>
      <c r="I507" s="111"/>
    </row>
    <row r="508" spans="1:9" hidden="1" x14ac:dyDescent="0.25">
      <c r="A508" s="315"/>
      <c r="B508" s="212"/>
      <c r="C508" s="315"/>
      <c r="D508" s="316"/>
      <c r="E508" s="347"/>
      <c r="F508" s="303"/>
      <c r="H508" s="337"/>
      <c r="I508" s="111"/>
    </row>
    <row r="509" spans="1:9" hidden="1" x14ac:dyDescent="0.25">
      <c r="A509" s="315"/>
      <c r="B509" s="212"/>
      <c r="C509" s="315"/>
      <c r="D509" s="316"/>
      <c r="E509" s="347"/>
      <c r="F509" s="303"/>
      <c r="H509" s="337"/>
      <c r="I509" s="111"/>
    </row>
    <row r="510" spans="1:9" hidden="1" x14ac:dyDescent="0.25">
      <c r="A510" s="315"/>
      <c r="B510" s="212"/>
      <c r="C510" s="315"/>
      <c r="D510" s="316"/>
      <c r="E510" s="347"/>
      <c r="F510" s="303"/>
      <c r="H510" s="337"/>
      <c r="I510" s="111"/>
    </row>
    <row r="511" spans="1:9" hidden="1" x14ac:dyDescent="0.25">
      <c r="A511" s="315"/>
      <c r="B511" s="212"/>
      <c r="C511" s="315"/>
      <c r="D511" s="316"/>
      <c r="E511" s="347"/>
      <c r="F511" s="303"/>
      <c r="H511" s="337"/>
      <c r="I511" s="111"/>
    </row>
    <row r="512" spans="1:9" hidden="1" x14ac:dyDescent="0.25">
      <c r="A512" s="315"/>
      <c r="B512" s="212"/>
      <c r="C512" s="315"/>
      <c r="D512" s="316"/>
      <c r="E512" s="347"/>
      <c r="F512" s="303"/>
      <c r="H512" s="337"/>
      <c r="I512" s="111"/>
    </row>
    <row r="513" spans="1:9" hidden="1" x14ac:dyDescent="0.25">
      <c r="A513" s="315"/>
      <c r="B513" s="212"/>
      <c r="C513" s="315"/>
      <c r="D513" s="316"/>
      <c r="E513" s="347"/>
      <c r="F513" s="303"/>
      <c r="H513" s="337"/>
      <c r="I513" s="111"/>
    </row>
    <row r="514" spans="1:9" hidden="1" x14ac:dyDescent="0.25">
      <c r="A514" s="315"/>
      <c r="B514" s="212"/>
      <c r="C514" s="315"/>
      <c r="D514" s="316"/>
      <c r="E514" s="347"/>
      <c r="F514" s="303"/>
      <c r="H514" s="337"/>
      <c r="I514" s="111"/>
    </row>
    <row r="515" spans="1:9" hidden="1" x14ac:dyDescent="0.25">
      <c r="A515" s="315"/>
      <c r="B515" s="212"/>
      <c r="C515" s="88"/>
      <c r="D515" s="316"/>
      <c r="E515" s="347"/>
      <c r="F515" s="303"/>
    </row>
    <row r="516" spans="1:9" hidden="1" x14ac:dyDescent="0.25">
      <c r="A516" s="315"/>
      <c r="B516" s="212"/>
      <c r="C516" s="88"/>
      <c r="D516" s="316"/>
      <c r="E516" s="347"/>
      <c r="F516" s="303"/>
    </row>
    <row r="517" spans="1:9" hidden="1" x14ac:dyDescent="0.25">
      <c r="A517" s="315"/>
      <c r="B517" s="212"/>
      <c r="C517" s="88"/>
      <c r="D517" s="316"/>
      <c r="E517" s="347"/>
      <c r="F517" s="303"/>
    </row>
    <row r="518" spans="1:9" hidden="1" x14ac:dyDescent="0.25">
      <c r="A518" s="315"/>
      <c r="B518" s="212"/>
      <c r="C518" s="88"/>
      <c r="D518" s="316"/>
      <c r="E518" s="347"/>
      <c r="F518" s="303"/>
    </row>
    <row r="519" spans="1:9" hidden="1" x14ac:dyDescent="0.25">
      <c r="A519" s="315"/>
      <c r="B519" s="212"/>
      <c r="C519" s="88"/>
      <c r="D519" s="316"/>
      <c r="E519" s="347"/>
      <c r="F519" s="303"/>
    </row>
    <row r="520" spans="1:9" hidden="1" x14ac:dyDescent="0.25">
      <c r="A520" s="316"/>
      <c r="B520" s="212"/>
      <c r="C520" s="88"/>
      <c r="D520" s="315"/>
      <c r="E520" s="315"/>
      <c r="F520" s="211"/>
    </row>
    <row r="521" spans="1:9" x14ac:dyDescent="0.25">
      <c r="A521" s="334"/>
      <c r="E521" s="88" t="s">
        <v>210</v>
      </c>
      <c r="F521" s="274">
        <f>SUM(F269:F520)</f>
        <v>229617.38300800003</v>
      </c>
    </row>
    <row r="522" spans="1:9" x14ac:dyDescent="0.25">
      <c r="A522" s="207"/>
    </row>
    <row r="523" spans="1:9" x14ac:dyDescent="0.25">
      <c r="A523" s="207"/>
    </row>
    <row r="524" spans="1:9" x14ac:dyDescent="0.25">
      <c r="A524" s="207"/>
    </row>
    <row r="525" spans="1:9" x14ac:dyDescent="0.25">
      <c r="A525" s="207"/>
    </row>
    <row r="526" spans="1:9" x14ac:dyDescent="0.25">
      <c r="A526" s="207"/>
    </row>
  </sheetData>
  <mergeCells count="140">
    <mergeCell ref="A205:F205"/>
    <mergeCell ref="A218:A219"/>
    <mergeCell ref="B218:B219"/>
    <mergeCell ref="D218:D219"/>
    <mergeCell ref="E218:E219"/>
    <mergeCell ref="A263:E263"/>
    <mergeCell ref="A264:F264"/>
    <mergeCell ref="A266:A267"/>
    <mergeCell ref="B266:B267"/>
    <mergeCell ref="D266:D267"/>
    <mergeCell ref="E266:E267"/>
    <mergeCell ref="F266:F267"/>
    <mergeCell ref="A223:F223"/>
    <mergeCell ref="A224:F224"/>
    <mergeCell ref="A225:F225"/>
    <mergeCell ref="A227:A228"/>
    <mergeCell ref="B227:B228"/>
    <mergeCell ref="D227:D228"/>
    <mergeCell ref="E227:E228"/>
    <mergeCell ref="F227:F228"/>
    <mergeCell ref="B44:C44"/>
    <mergeCell ref="G218:G219"/>
    <mergeCell ref="A207:A208"/>
    <mergeCell ref="B207:B208"/>
    <mergeCell ref="D207:D208"/>
    <mergeCell ref="E207:E208"/>
    <mergeCell ref="F207:F208"/>
    <mergeCell ref="G207:G208"/>
    <mergeCell ref="A215:F215"/>
    <mergeCell ref="A216:F216"/>
    <mergeCell ref="F218:F219"/>
    <mergeCell ref="A177:F177"/>
    <mergeCell ref="A184:E184"/>
    <mergeCell ref="A201:B201"/>
    <mergeCell ref="A202:B202"/>
    <mergeCell ref="A203:B203"/>
    <mergeCell ref="F186:F187"/>
    <mergeCell ref="A195:E195"/>
    <mergeCell ref="A196:F196"/>
    <mergeCell ref="A199:B199"/>
    <mergeCell ref="A186:A187"/>
    <mergeCell ref="B186:B187"/>
    <mergeCell ref="D186:D187"/>
    <mergeCell ref="A204:B204"/>
    <mergeCell ref="E50:E51"/>
    <mergeCell ref="A50:B51"/>
    <mergeCell ref="I20:I22"/>
    <mergeCell ref="G23:G24"/>
    <mergeCell ref="I23:I24"/>
    <mergeCell ref="A47:F47"/>
    <mergeCell ref="A23:A24"/>
    <mergeCell ref="B23:B24"/>
    <mergeCell ref="D23:D24"/>
    <mergeCell ref="E23:E24"/>
    <mergeCell ref="F23:F24"/>
    <mergeCell ref="G20:G22"/>
    <mergeCell ref="D20:D22"/>
    <mergeCell ref="E20:F20"/>
    <mergeCell ref="A20:A22"/>
    <mergeCell ref="B20:B22"/>
    <mergeCell ref="A38:H38"/>
    <mergeCell ref="A39:A41"/>
    <mergeCell ref="B39:C41"/>
    <mergeCell ref="D40:D41"/>
    <mergeCell ref="A29:H29"/>
    <mergeCell ref="E40:E41"/>
    <mergeCell ref="F40:F41"/>
    <mergeCell ref="B43:C43"/>
    <mergeCell ref="G50:G51"/>
    <mergeCell ref="A52:B52"/>
    <mergeCell ref="A62:B62"/>
    <mergeCell ref="B42:C42"/>
    <mergeCell ref="A164:F164"/>
    <mergeCell ref="A19:B19"/>
    <mergeCell ref="B3:H3"/>
    <mergeCell ref="A4:E4"/>
    <mergeCell ref="A5:E5"/>
    <mergeCell ref="A6:E6"/>
    <mergeCell ref="A7:E7"/>
    <mergeCell ref="A16:F16"/>
    <mergeCell ref="A18:F18"/>
    <mergeCell ref="G60:G61"/>
    <mergeCell ref="A56:B56"/>
    <mergeCell ref="A58:F58"/>
    <mergeCell ref="A60:B61"/>
    <mergeCell ref="D60:D61"/>
    <mergeCell ref="E60:E61"/>
    <mergeCell ref="F60:F61"/>
    <mergeCell ref="D39:E39"/>
    <mergeCell ref="F50:F51"/>
    <mergeCell ref="A153:F153"/>
    <mergeCell ref="D50:D51"/>
    <mergeCell ref="A1:H1"/>
    <mergeCell ref="A8:E8"/>
    <mergeCell ref="D9:E9"/>
    <mergeCell ref="D10:E10"/>
    <mergeCell ref="D12:E12"/>
    <mergeCell ref="D14:E14"/>
    <mergeCell ref="B36:C36"/>
    <mergeCell ref="G31:G32"/>
    <mergeCell ref="B33:C33"/>
    <mergeCell ref="B35:C35"/>
    <mergeCell ref="A30:A32"/>
    <mergeCell ref="B30:C32"/>
    <mergeCell ref="D30:H30"/>
    <mergeCell ref="D31:D32"/>
    <mergeCell ref="E31:E32"/>
    <mergeCell ref="F31:F32"/>
    <mergeCell ref="H31:H32"/>
    <mergeCell ref="I155:I157"/>
    <mergeCell ref="B158:B159"/>
    <mergeCell ref="D158:D159"/>
    <mergeCell ref="E158:E159"/>
    <mergeCell ref="F158:F159"/>
    <mergeCell ref="G158:G159"/>
    <mergeCell ref="I158:I159"/>
    <mergeCell ref="A144:B144"/>
    <mergeCell ref="A145:B145"/>
    <mergeCell ref="A146:B146"/>
    <mergeCell ref="A147:B147"/>
    <mergeCell ref="A148:B148"/>
    <mergeCell ref="A149:B149"/>
    <mergeCell ref="A200:B200"/>
    <mergeCell ref="A167:H167"/>
    <mergeCell ref="A158:A159"/>
    <mergeCell ref="A155:A157"/>
    <mergeCell ref="A183:F183"/>
    <mergeCell ref="A150:B150"/>
    <mergeCell ref="B155:B157"/>
    <mergeCell ref="D155:D157"/>
    <mergeCell ref="E155:F155"/>
    <mergeCell ref="G155:G157"/>
    <mergeCell ref="E186:E187"/>
    <mergeCell ref="A168:A170"/>
    <mergeCell ref="B168:C170"/>
    <mergeCell ref="D168:F168"/>
    <mergeCell ref="D169:D170"/>
    <mergeCell ref="E169:E170"/>
    <mergeCell ref="F169:F170"/>
    <mergeCell ref="B171:C171"/>
  </mergeCells>
  <printOptions horizontalCentered="1" verticalCentered="1"/>
  <pageMargins left="0.35433070866141736" right="0.31496062992125984" top="0.35433070866141736" bottom="0.35433070866141736" header="0" footer="0"/>
  <pageSetup paperSize="9" scale="46" fitToHeight="4" orientation="portrait" r:id="rId1"/>
  <rowBreaks count="3" manualBreakCount="3">
    <brk id="57" max="9" man="1"/>
    <brk id="204" max="9" man="1"/>
    <brk id="263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K226"/>
  <sheetViews>
    <sheetView workbookViewId="0">
      <selection activeCell="H24" sqref="H24"/>
    </sheetView>
  </sheetViews>
  <sheetFormatPr defaultRowHeight="15" x14ac:dyDescent="0.25"/>
  <cols>
    <col min="8" max="8" width="10.375" customWidth="1"/>
  </cols>
  <sheetData>
    <row r="1" spans="1:11" ht="15" customHeight="1" x14ac:dyDescent="0.25">
      <c r="A1" s="218" t="s">
        <v>182</v>
      </c>
      <c r="B1" s="679" t="s">
        <v>111</v>
      </c>
      <c r="C1" s="679"/>
      <c r="D1" s="679"/>
      <c r="E1" s="679"/>
      <c r="F1" s="679"/>
      <c r="G1" s="218" t="s">
        <v>183</v>
      </c>
      <c r="H1" s="217" t="s">
        <v>184</v>
      </c>
      <c r="I1" s="679" t="s">
        <v>185</v>
      </c>
      <c r="J1" s="679"/>
      <c r="K1" s="679"/>
    </row>
    <row r="2" spans="1:11" ht="15" customHeight="1" x14ac:dyDescent="0.25">
      <c r="A2" s="218">
        <v>1</v>
      </c>
      <c r="B2" s="663">
        <v>2</v>
      </c>
      <c r="C2" s="739"/>
      <c r="D2" s="739"/>
      <c r="E2" s="739"/>
      <c r="F2" s="664"/>
      <c r="G2" s="218">
        <v>3</v>
      </c>
      <c r="H2" s="218">
        <v>4</v>
      </c>
      <c r="I2" s="740">
        <v>5</v>
      </c>
      <c r="J2" s="741"/>
      <c r="K2" s="742"/>
    </row>
    <row r="3" spans="1:11" ht="15" customHeight="1" x14ac:dyDescent="0.25">
      <c r="A3" s="218">
        <v>1</v>
      </c>
      <c r="B3" s="406" t="s">
        <v>259</v>
      </c>
      <c r="C3" s="406" t="s">
        <v>259</v>
      </c>
      <c r="D3" s="406" t="s">
        <v>259</v>
      </c>
      <c r="E3" s="406" t="s">
        <v>259</v>
      </c>
      <c r="F3" s="406" t="s">
        <v>259</v>
      </c>
      <c r="G3" s="408">
        <v>7</v>
      </c>
      <c r="H3" s="410">
        <v>7500</v>
      </c>
      <c r="I3" s="299"/>
      <c r="J3" s="300"/>
      <c r="K3" s="301">
        <f>G3*H3</f>
        <v>52500</v>
      </c>
    </row>
    <row r="4" spans="1:11" ht="15" customHeight="1" x14ac:dyDescent="0.25">
      <c r="A4" s="218">
        <v>2</v>
      </c>
      <c r="B4" s="406" t="s">
        <v>260</v>
      </c>
      <c r="C4" s="406" t="s">
        <v>260</v>
      </c>
      <c r="D4" s="406" t="s">
        <v>260</v>
      </c>
      <c r="E4" s="406" t="s">
        <v>260</v>
      </c>
      <c r="F4" s="406" t="s">
        <v>260</v>
      </c>
      <c r="G4" s="408">
        <v>6</v>
      </c>
      <c r="H4" s="410">
        <v>1500</v>
      </c>
      <c r="I4" s="299"/>
      <c r="J4" s="300"/>
      <c r="K4" s="301">
        <f>G4*H4</f>
        <v>9000</v>
      </c>
    </row>
    <row r="5" spans="1:11" ht="15" customHeight="1" x14ac:dyDescent="0.25">
      <c r="A5" s="218">
        <v>3</v>
      </c>
      <c r="B5" s="406" t="s">
        <v>261</v>
      </c>
      <c r="C5" s="406" t="s">
        <v>261</v>
      </c>
      <c r="D5" s="406" t="s">
        <v>261</v>
      </c>
      <c r="E5" s="406" t="s">
        <v>261</v>
      </c>
      <c r="F5" s="406" t="s">
        <v>261</v>
      </c>
      <c r="G5" s="408">
        <v>6</v>
      </c>
      <c r="H5" s="410">
        <v>4500</v>
      </c>
      <c r="I5" s="299"/>
      <c r="J5" s="300"/>
      <c r="K5" s="301">
        <f>G5*H5</f>
        <v>27000</v>
      </c>
    </row>
    <row r="6" spans="1:11" ht="15" customHeight="1" x14ac:dyDescent="0.25">
      <c r="A6" s="218">
        <v>4</v>
      </c>
      <c r="B6" s="406" t="s">
        <v>262</v>
      </c>
      <c r="C6" s="406" t="s">
        <v>262</v>
      </c>
      <c r="D6" s="406" t="s">
        <v>262</v>
      </c>
      <c r="E6" s="406" t="s">
        <v>262</v>
      </c>
      <c r="F6" s="406" t="s">
        <v>262</v>
      </c>
      <c r="G6" s="408">
        <v>2</v>
      </c>
      <c r="H6" s="410">
        <v>13000</v>
      </c>
      <c r="I6" s="746">
        <f t="shared" ref="I6:I15" si="0">G6*H6</f>
        <v>26000</v>
      </c>
      <c r="J6" s="747"/>
      <c r="K6" s="748"/>
    </row>
    <row r="7" spans="1:11" ht="15" customHeight="1" x14ac:dyDescent="0.25">
      <c r="A7" s="218">
        <v>5</v>
      </c>
      <c r="B7" s="407" t="s">
        <v>263</v>
      </c>
      <c r="C7" s="407" t="s">
        <v>263</v>
      </c>
      <c r="D7" s="407" t="s">
        <v>263</v>
      </c>
      <c r="E7" s="407" t="s">
        <v>263</v>
      </c>
      <c r="F7" s="407" t="s">
        <v>263</v>
      </c>
      <c r="G7" s="409">
        <v>5</v>
      </c>
      <c r="H7" s="411">
        <v>1000</v>
      </c>
      <c r="I7" s="746">
        <f t="shared" si="0"/>
        <v>5000</v>
      </c>
      <c r="J7" s="747"/>
      <c r="K7" s="748"/>
    </row>
    <row r="8" spans="1:11" ht="15" customHeight="1" x14ac:dyDescent="0.25">
      <c r="A8" s="218">
        <v>6</v>
      </c>
      <c r="B8" s="407" t="s">
        <v>264</v>
      </c>
      <c r="C8" s="407" t="s">
        <v>264</v>
      </c>
      <c r="D8" s="407" t="s">
        <v>264</v>
      </c>
      <c r="E8" s="407" t="s">
        <v>264</v>
      </c>
      <c r="F8" s="407" t="s">
        <v>264</v>
      </c>
      <c r="G8" s="409">
        <v>2</v>
      </c>
      <c r="H8" s="411">
        <v>2100</v>
      </c>
      <c r="I8" s="746">
        <f t="shared" si="0"/>
        <v>4200</v>
      </c>
      <c r="J8" s="747"/>
      <c r="K8" s="748"/>
    </row>
    <row r="9" spans="1:11" ht="33" x14ac:dyDescent="0.25">
      <c r="A9" s="218">
        <v>7</v>
      </c>
      <c r="B9" s="406" t="s">
        <v>265</v>
      </c>
      <c r="C9" s="406" t="s">
        <v>265</v>
      </c>
      <c r="D9" s="406" t="s">
        <v>265</v>
      </c>
      <c r="E9" s="406" t="s">
        <v>265</v>
      </c>
      <c r="F9" s="406" t="s">
        <v>265</v>
      </c>
      <c r="G9" s="408">
        <v>4</v>
      </c>
      <c r="H9" s="410">
        <v>500</v>
      </c>
      <c r="I9" s="746">
        <f t="shared" si="0"/>
        <v>2000</v>
      </c>
      <c r="J9" s="747"/>
      <c r="K9" s="748"/>
    </row>
    <row r="10" spans="1:11" ht="15" customHeight="1" x14ac:dyDescent="0.25">
      <c r="A10" s="218">
        <v>8</v>
      </c>
      <c r="B10" s="406" t="s">
        <v>266</v>
      </c>
      <c r="C10" s="406" t="s">
        <v>266</v>
      </c>
      <c r="D10" s="406" t="s">
        <v>266</v>
      </c>
      <c r="E10" s="406" t="s">
        <v>266</v>
      </c>
      <c r="F10" s="406" t="s">
        <v>266</v>
      </c>
      <c r="G10" s="408">
        <v>20</v>
      </c>
      <c r="H10" s="410">
        <v>100</v>
      </c>
      <c r="I10" s="746">
        <f t="shared" si="0"/>
        <v>2000</v>
      </c>
      <c r="J10" s="747"/>
      <c r="K10" s="748"/>
    </row>
    <row r="11" spans="1:11" ht="15" customHeight="1" x14ac:dyDescent="0.25">
      <c r="A11" s="218">
        <v>9</v>
      </c>
      <c r="B11" s="406" t="s">
        <v>207</v>
      </c>
      <c r="C11" s="406" t="s">
        <v>207</v>
      </c>
      <c r="D11" s="406" t="s">
        <v>207</v>
      </c>
      <c r="E11" s="406" t="s">
        <v>207</v>
      </c>
      <c r="F11" s="406" t="s">
        <v>207</v>
      </c>
      <c r="G11" s="408">
        <v>15</v>
      </c>
      <c r="H11" s="410">
        <v>250</v>
      </c>
      <c r="I11" s="746">
        <f t="shared" si="0"/>
        <v>3750</v>
      </c>
      <c r="J11" s="747"/>
      <c r="K11" s="748"/>
    </row>
    <row r="12" spans="1:11" ht="15" customHeight="1" x14ac:dyDescent="0.25">
      <c r="A12" s="218">
        <v>10</v>
      </c>
      <c r="B12" s="406" t="s">
        <v>206</v>
      </c>
      <c r="C12" s="406" t="s">
        <v>206</v>
      </c>
      <c r="D12" s="406" t="s">
        <v>206</v>
      </c>
      <c r="E12" s="406" t="s">
        <v>206</v>
      </c>
      <c r="F12" s="406" t="s">
        <v>206</v>
      </c>
      <c r="G12" s="408">
        <v>100</v>
      </c>
      <c r="H12" s="410">
        <v>25</v>
      </c>
      <c r="I12" s="746">
        <f t="shared" si="0"/>
        <v>2500</v>
      </c>
      <c r="J12" s="747"/>
      <c r="K12" s="748"/>
    </row>
    <row r="13" spans="1:11" ht="15" customHeight="1" x14ac:dyDescent="0.25">
      <c r="A13" s="218">
        <v>11</v>
      </c>
      <c r="B13" s="406" t="s">
        <v>267</v>
      </c>
      <c r="C13" s="406" t="s">
        <v>267</v>
      </c>
      <c r="D13" s="406" t="s">
        <v>267</v>
      </c>
      <c r="E13" s="406" t="s">
        <v>267</v>
      </c>
      <c r="F13" s="406" t="s">
        <v>267</v>
      </c>
      <c r="G13" s="408">
        <v>30</v>
      </c>
      <c r="H13" s="410">
        <v>40</v>
      </c>
      <c r="I13" s="746">
        <f t="shared" si="0"/>
        <v>1200</v>
      </c>
      <c r="J13" s="747"/>
      <c r="K13" s="748"/>
    </row>
    <row r="14" spans="1:11" ht="15" customHeight="1" x14ac:dyDescent="0.25">
      <c r="A14" s="218">
        <v>12</v>
      </c>
      <c r="B14" s="406" t="s">
        <v>268</v>
      </c>
      <c r="C14" s="406" t="s">
        <v>268</v>
      </c>
      <c r="D14" s="406" t="s">
        <v>268</v>
      </c>
      <c r="E14" s="406" t="s">
        <v>268</v>
      </c>
      <c r="F14" s="406" t="s">
        <v>268</v>
      </c>
      <c r="G14" s="408">
        <v>40</v>
      </c>
      <c r="H14" s="410">
        <v>1500</v>
      </c>
      <c r="I14" s="746">
        <f t="shared" si="0"/>
        <v>60000</v>
      </c>
      <c r="J14" s="747"/>
      <c r="K14" s="748"/>
    </row>
    <row r="15" spans="1:11" ht="15" customHeight="1" x14ac:dyDescent="0.25">
      <c r="A15" s="218">
        <v>13</v>
      </c>
      <c r="B15" s="407" t="s">
        <v>269</v>
      </c>
      <c r="C15" s="407" t="s">
        <v>269</v>
      </c>
      <c r="D15" s="407" t="s">
        <v>269</v>
      </c>
      <c r="E15" s="407" t="s">
        <v>269</v>
      </c>
      <c r="F15" s="407" t="s">
        <v>269</v>
      </c>
      <c r="G15" s="408">
        <v>10</v>
      </c>
      <c r="H15" s="410">
        <v>1200</v>
      </c>
      <c r="I15" s="746">
        <f t="shared" si="0"/>
        <v>12000</v>
      </c>
      <c r="J15" s="747"/>
      <c r="K15" s="748"/>
    </row>
    <row r="16" spans="1:11" ht="66" x14ac:dyDescent="0.25">
      <c r="A16" s="218">
        <v>14</v>
      </c>
      <c r="B16" s="407" t="s">
        <v>270</v>
      </c>
      <c r="C16" s="407" t="s">
        <v>270</v>
      </c>
      <c r="D16" s="407" t="s">
        <v>270</v>
      </c>
      <c r="E16" s="407" t="s">
        <v>270</v>
      </c>
      <c r="F16" s="407" t="s">
        <v>270</v>
      </c>
      <c r="G16" s="408">
        <v>5</v>
      </c>
      <c r="H16" s="410">
        <v>1200</v>
      </c>
      <c r="I16" s="235"/>
      <c r="J16" s="236"/>
      <c r="K16" s="297">
        <f>G16*H16</f>
        <v>6000</v>
      </c>
    </row>
    <row r="17" spans="1:11" ht="15" customHeight="1" x14ac:dyDescent="0.25">
      <c r="A17" s="218">
        <v>15</v>
      </c>
      <c r="B17" s="407" t="s">
        <v>271</v>
      </c>
      <c r="C17" s="407" t="s">
        <v>271</v>
      </c>
      <c r="D17" s="407" t="s">
        <v>271</v>
      </c>
      <c r="E17" s="407" t="s">
        <v>271</v>
      </c>
      <c r="F17" s="407" t="s">
        <v>271</v>
      </c>
      <c r="G17" s="408">
        <v>5</v>
      </c>
      <c r="H17" s="410">
        <v>1200</v>
      </c>
      <c r="I17" s="235"/>
      <c r="J17" s="236"/>
      <c r="K17" s="297">
        <f t="shared" ref="K17:K40" si="1">G17*H17</f>
        <v>6000</v>
      </c>
    </row>
    <row r="18" spans="1:11" ht="15" customHeight="1" x14ac:dyDescent="0.25">
      <c r="A18" s="218">
        <v>16</v>
      </c>
      <c r="B18" s="407" t="s">
        <v>272</v>
      </c>
      <c r="C18" s="407" t="s">
        <v>272</v>
      </c>
      <c r="D18" s="407" t="s">
        <v>272</v>
      </c>
      <c r="E18" s="407" t="s">
        <v>272</v>
      </c>
      <c r="F18" s="407" t="s">
        <v>272</v>
      </c>
      <c r="G18" s="408">
        <v>20</v>
      </c>
      <c r="H18" s="410">
        <v>400</v>
      </c>
      <c r="I18" s="235"/>
      <c r="J18" s="236"/>
      <c r="K18" s="297">
        <f t="shared" si="1"/>
        <v>8000</v>
      </c>
    </row>
    <row r="19" spans="1:11" ht="15" customHeight="1" x14ac:dyDescent="0.25">
      <c r="A19" s="218">
        <v>17</v>
      </c>
      <c r="B19" s="407" t="s">
        <v>273</v>
      </c>
      <c r="C19" s="407" t="s">
        <v>273</v>
      </c>
      <c r="D19" s="407" t="s">
        <v>273</v>
      </c>
      <c r="E19" s="407" t="s">
        <v>273</v>
      </c>
      <c r="F19" s="407" t="s">
        <v>273</v>
      </c>
      <c r="G19" s="408">
        <v>20</v>
      </c>
      <c r="H19" s="410">
        <v>300</v>
      </c>
      <c r="I19" s="235"/>
      <c r="J19" s="236"/>
      <c r="K19" s="297">
        <f t="shared" si="1"/>
        <v>6000</v>
      </c>
    </row>
    <row r="20" spans="1:11" ht="15" customHeight="1" x14ac:dyDescent="0.25">
      <c r="A20" s="218">
        <v>18</v>
      </c>
      <c r="B20" s="407" t="s">
        <v>204</v>
      </c>
      <c r="C20" s="407" t="s">
        <v>204</v>
      </c>
      <c r="D20" s="407" t="s">
        <v>204</v>
      </c>
      <c r="E20" s="407" t="s">
        <v>204</v>
      </c>
      <c r="F20" s="407" t="s">
        <v>204</v>
      </c>
      <c r="G20" s="408">
        <v>15</v>
      </c>
      <c r="H20" s="410">
        <v>900</v>
      </c>
      <c r="I20" s="235"/>
      <c r="J20" s="236"/>
      <c r="K20" s="297">
        <f t="shared" si="1"/>
        <v>13500</v>
      </c>
    </row>
    <row r="21" spans="1:11" ht="15" customHeight="1" x14ac:dyDescent="0.25">
      <c r="A21" s="218">
        <v>19</v>
      </c>
      <c r="B21" s="407" t="s">
        <v>274</v>
      </c>
      <c r="C21" s="407" t="s">
        <v>274</v>
      </c>
      <c r="D21" s="407" t="s">
        <v>274</v>
      </c>
      <c r="E21" s="407" t="s">
        <v>274</v>
      </c>
      <c r="F21" s="407" t="s">
        <v>274</v>
      </c>
      <c r="G21" s="408">
        <v>5</v>
      </c>
      <c r="H21" s="410">
        <v>3500</v>
      </c>
      <c r="I21" s="235"/>
      <c r="J21" s="236"/>
      <c r="K21" s="297">
        <f t="shared" si="1"/>
        <v>17500</v>
      </c>
    </row>
    <row r="22" spans="1:11" ht="15" customHeight="1" x14ac:dyDescent="0.25">
      <c r="A22" s="218">
        <v>20</v>
      </c>
      <c r="B22" s="407" t="s">
        <v>275</v>
      </c>
      <c r="C22" s="407" t="s">
        <v>275</v>
      </c>
      <c r="D22" s="407" t="s">
        <v>275</v>
      </c>
      <c r="E22" s="407" t="s">
        <v>275</v>
      </c>
      <c r="F22" s="407" t="s">
        <v>275</v>
      </c>
      <c r="G22" s="408">
        <v>10</v>
      </c>
      <c r="H22" s="410">
        <v>811</v>
      </c>
      <c r="I22" s="235"/>
      <c r="J22" s="236"/>
      <c r="K22" s="297">
        <f t="shared" si="1"/>
        <v>8110</v>
      </c>
    </row>
    <row r="23" spans="1:11" ht="15" customHeight="1" x14ac:dyDescent="0.25">
      <c r="A23" s="218">
        <v>21</v>
      </c>
      <c r="B23" s="407" t="s">
        <v>276</v>
      </c>
      <c r="C23" s="407" t="s">
        <v>276</v>
      </c>
      <c r="D23" s="407" t="s">
        <v>276</v>
      </c>
      <c r="E23" s="407" t="s">
        <v>276</v>
      </c>
      <c r="F23" s="407" t="s">
        <v>276</v>
      </c>
      <c r="G23" s="408">
        <v>10</v>
      </c>
      <c r="H23" s="410">
        <v>100</v>
      </c>
      <c r="I23" s="235"/>
      <c r="J23" s="236"/>
      <c r="K23" s="297">
        <f t="shared" si="1"/>
        <v>1000</v>
      </c>
    </row>
    <row r="24" spans="1:11" ht="15" customHeight="1" x14ac:dyDescent="0.25">
      <c r="A24" s="218">
        <v>22</v>
      </c>
      <c r="B24" s="407" t="s">
        <v>277</v>
      </c>
      <c r="C24" s="407" t="s">
        <v>277</v>
      </c>
      <c r="D24" s="407" t="s">
        <v>277</v>
      </c>
      <c r="E24" s="407" t="s">
        <v>277</v>
      </c>
      <c r="F24" s="407" t="s">
        <v>277</v>
      </c>
      <c r="G24" s="408">
        <v>5</v>
      </c>
      <c r="H24" s="410">
        <v>301</v>
      </c>
      <c r="I24" s="235"/>
      <c r="J24" s="236"/>
      <c r="K24" s="297">
        <f t="shared" si="1"/>
        <v>1505</v>
      </c>
    </row>
    <row r="25" spans="1:11" ht="15" customHeight="1" x14ac:dyDescent="0.25">
      <c r="A25" s="218">
        <v>23</v>
      </c>
      <c r="B25" s="407" t="s">
        <v>278</v>
      </c>
      <c r="C25" s="407" t="s">
        <v>278</v>
      </c>
      <c r="D25" s="407" t="s">
        <v>278</v>
      </c>
      <c r="E25" s="407" t="s">
        <v>278</v>
      </c>
      <c r="F25" s="407" t="s">
        <v>278</v>
      </c>
      <c r="G25" s="408">
        <v>30</v>
      </c>
      <c r="H25" s="410">
        <v>250</v>
      </c>
      <c r="I25" s="235"/>
      <c r="J25" s="236"/>
      <c r="K25" s="297">
        <f t="shared" si="1"/>
        <v>7500</v>
      </c>
    </row>
    <row r="26" spans="1:11" ht="15" customHeight="1" x14ac:dyDescent="0.25">
      <c r="A26" s="218">
        <v>24</v>
      </c>
      <c r="B26" s="407" t="s">
        <v>279</v>
      </c>
      <c r="C26" s="407" t="s">
        <v>279</v>
      </c>
      <c r="D26" s="407" t="s">
        <v>279</v>
      </c>
      <c r="E26" s="407" t="s">
        <v>279</v>
      </c>
      <c r="F26" s="407" t="s">
        <v>279</v>
      </c>
      <c r="G26" s="408">
        <v>5</v>
      </c>
      <c r="H26" s="410">
        <v>401</v>
      </c>
      <c r="I26" s="235"/>
      <c r="J26" s="236"/>
      <c r="K26" s="297">
        <f t="shared" si="1"/>
        <v>2005</v>
      </c>
    </row>
    <row r="27" spans="1:11" ht="15" customHeight="1" x14ac:dyDescent="0.25">
      <c r="A27" s="218">
        <v>25</v>
      </c>
      <c r="B27" s="407" t="s">
        <v>280</v>
      </c>
      <c r="C27" s="407" t="s">
        <v>280</v>
      </c>
      <c r="D27" s="407" t="s">
        <v>280</v>
      </c>
      <c r="E27" s="407" t="s">
        <v>280</v>
      </c>
      <c r="F27" s="407" t="s">
        <v>280</v>
      </c>
      <c r="G27" s="408">
        <v>20</v>
      </c>
      <c r="H27" s="410">
        <v>50</v>
      </c>
      <c r="I27" s="235"/>
      <c r="J27" s="236"/>
      <c r="K27" s="297">
        <f t="shared" si="1"/>
        <v>1000</v>
      </c>
    </row>
    <row r="28" spans="1:11" ht="15" customHeight="1" x14ac:dyDescent="0.25">
      <c r="A28" s="218">
        <v>26</v>
      </c>
      <c r="B28" s="407" t="s">
        <v>281</v>
      </c>
      <c r="C28" s="407" t="s">
        <v>281</v>
      </c>
      <c r="D28" s="407" t="s">
        <v>281</v>
      </c>
      <c r="E28" s="407" t="s">
        <v>281</v>
      </c>
      <c r="F28" s="407" t="s">
        <v>281</v>
      </c>
      <c r="G28" s="408">
        <v>40</v>
      </c>
      <c r="H28" s="410">
        <v>30</v>
      </c>
      <c r="I28" s="235"/>
      <c r="J28" s="236"/>
      <c r="K28" s="297">
        <f t="shared" si="1"/>
        <v>1200</v>
      </c>
    </row>
    <row r="29" spans="1:11" ht="15" customHeight="1" x14ac:dyDescent="0.25">
      <c r="A29" s="218">
        <v>27</v>
      </c>
      <c r="B29" s="407" t="s">
        <v>282</v>
      </c>
      <c r="C29" s="407" t="s">
        <v>282</v>
      </c>
      <c r="D29" s="407" t="s">
        <v>282</v>
      </c>
      <c r="E29" s="407" t="s">
        <v>282</v>
      </c>
      <c r="F29" s="407" t="s">
        <v>282</v>
      </c>
      <c r="G29" s="408">
        <v>10</v>
      </c>
      <c r="H29" s="410">
        <v>300</v>
      </c>
      <c r="I29" s="235"/>
      <c r="J29" s="236"/>
      <c r="K29" s="297">
        <f t="shared" si="1"/>
        <v>3000</v>
      </c>
    </row>
    <row r="30" spans="1:11" ht="15" customHeight="1" x14ac:dyDescent="0.25">
      <c r="A30" s="218">
        <v>28</v>
      </c>
      <c r="B30" s="407" t="s">
        <v>283</v>
      </c>
      <c r="C30" s="407" t="s">
        <v>283</v>
      </c>
      <c r="D30" s="407" t="s">
        <v>283</v>
      </c>
      <c r="E30" s="407" t="s">
        <v>283</v>
      </c>
      <c r="F30" s="407" t="s">
        <v>283</v>
      </c>
      <c r="G30" s="408">
        <v>10</v>
      </c>
      <c r="H30" s="410">
        <v>210</v>
      </c>
      <c r="I30" s="235"/>
      <c r="J30" s="236"/>
      <c r="K30" s="297">
        <f t="shared" si="1"/>
        <v>2100</v>
      </c>
    </row>
    <row r="31" spans="1:11" ht="33" x14ac:dyDescent="0.25">
      <c r="A31" s="218">
        <v>29</v>
      </c>
      <c r="B31" s="407" t="s">
        <v>284</v>
      </c>
      <c r="C31" s="407" t="s">
        <v>284</v>
      </c>
      <c r="D31" s="407" t="s">
        <v>284</v>
      </c>
      <c r="E31" s="407" t="s">
        <v>284</v>
      </c>
      <c r="F31" s="407" t="s">
        <v>284</v>
      </c>
      <c r="G31" s="408">
        <v>10</v>
      </c>
      <c r="H31" s="410">
        <v>150</v>
      </c>
      <c r="I31" s="235"/>
      <c r="J31" s="236"/>
      <c r="K31" s="297">
        <f t="shared" si="1"/>
        <v>1500</v>
      </c>
    </row>
    <row r="32" spans="1:11" ht="15" customHeight="1" x14ac:dyDescent="0.25">
      <c r="A32" s="288">
        <v>30</v>
      </c>
      <c r="B32" s="407" t="s">
        <v>285</v>
      </c>
      <c r="C32" s="407" t="s">
        <v>285</v>
      </c>
      <c r="D32" s="407" t="s">
        <v>285</v>
      </c>
      <c r="E32" s="407" t="s">
        <v>285</v>
      </c>
      <c r="F32" s="407" t="s">
        <v>285</v>
      </c>
      <c r="G32" s="408">
        <v>30</v>
      </c>
      <c r="H32" s="410">
        <v>50</v>
      </c>
      <c r="I32" s="235"/>
      <c r="J32" s="236"/>
      <c r="K32" s="297">
        <f t="shared" si="1"/>
        <v>1500</v>
      </c>
    </row>
    <row r="33" spans="1:11" ht="15" customHeight="1" x14ac:dyDescent="0.25">
      <c r="A33" s="288">
        <v>31</v>
      </c>
      <c r="B33" s="407" t="s">
        <v>286</v>
      </c>
      <c r="C33" s="407" t="s">
        <v>286</v>
      </c>
      <c r="D33" s="407" t="s">
        <v>286</v>
      </c>
      <c r="E33" s="407" t="s">
        <v>286</v>
      </c>
      <c r="F33" s="407" t="s">
        <v>286</v>
      </c>
      <c r="G33" s="408">
        <v>53</v>
      </c>
      <c r="H33" s="410">
        <v>30</v>
      </c>
      <c r="I33" s="235"/>
      <c r="J33" s="236"/>
      <c r="K33" s="297">
        <f t="shared" si="1"/>
        <v>1590</v>
      </c>
    </row>
    <row r="34" spans="1:11" ht="15" customHeight="1" x14ac:dyDescent="0.25">
      <c r="A34" s="288">
        <v>32</v>
      </c>
      <c r="B34" s="407" t="s">
        <v>287</v>
      </c>
      <c r="C34" s="407" t="s">
        <v>287</v>
      </c>
      <c r="D34" s="407" t="s">
        <v>287</v>
      </c>
      <c r="E34" s="407" t="s">
        <v>287</v>
      </c>
      <c r="F34" s="407" t="s">
        <v>287</v>
      </c>
      <c r="G34" s="408">
        <v>40</v>
      </c>
      <c r="H34" s="410">
        <v>100</v>
      </c>
      <c r="I34" s="235"/>
      <c r="J34" s="236"/>
      <c r="K34" s="297">
        <f t="shared" si="1"/>
        <v>4000</v>
      </c>
    </row>
    <row r="35" spans="1:11" ht="16.5" x14ac:dyDescent="0.25">
      <c r="A35" s="288">
        <v>33</v>
      </c>
      <c r="B35" s="407" t="s">
        <v>288</v>
      </c>
      <c r="C35" s="407" t="s">
        <v>288</v>
      </c>
      <c r="D35" s="407" t="s">
        <v>288</v>
      </c>
      <c r="E35" s="407" t="s">
        <v>288</v>
      </c>
      <c r="F35" s="407" t="s">
        <v>288</v>
      </c>
      <c r="G35" s="408">
        <v>50</v>
      </c>
      <c r="H35" s="410">
        <v>40</v>
      </c>
      <c r="I35" s="235"/>
      <c r="J35" s="236"/>
      <c r="K35" s="297">
        <f t="shared" si="1"/>
        <v>2000</v>
      </c>
    </row>
    <row r="36" spans="1:11" ht="33" x14ac:dyDescent="0.25">
      <c r="A36" s="288">
        <v>34</v>
      </c>
      <c r="B36" s="407" t="s">
        <v>289</v>
      </c>
      <c r="C36" s="407" t="s">
        <v>289</v>
      </c>
      <c r="D36" s="407" t="s">
        <v>289</v>
      </c>
      <c r="E36" s="407" t="s">
        <v>289</v>
      </c>
      <c r="F36" s="407" t="s">
        <v>289</v>
      </c>
      <c r="G36" s="408">
        <v>200</v>
      </c>
      <c r="H36" s="410">
        <v>80</v>
      </c>
      <c r="I36" s="235"/>
      <c r="J36" s="236"/>
      <c r="K36" s="297">
        <f t="shared" si="1"/>
        <v>16000</v>
      </c>
    </row>
    <row r="37" spans="1:11" ht="33" x14ac:dyDescent="0.25">
      <c r="A37" s="288">
        <v>35</v>
      </c>
      <c r="B37" s="407" t="s">
        <v>290</v>
      </c>
      <c r="C37" s="407" t="s">
        <v>290</v>
      </c>
      <c r="D37" s="407" t="s">
        <v>290</v>
      </c>
      <c r="E37" s="407" t="s">
        <v>290</v>
      </c>
      <c r="F37" s="407" t="s">
        <v>290</v>
      </c>
      <c r="G37" s="408">
        <v>70</v>
      </c>
      <c r="H37" s="410">
        <v>300</v>
      </c>
      <c r="I37" s="235"/>
      <c r="J37" s="236"/>
      <c r="K37" s="297">
        <f t="shared" si="1"/>
        <v>21000</v>
      </c>
    </row>
    <row r="38" spans="1:11" ht="33" x14ac:dyDescent="0.25">
      <c r="A38" s="288">
        <v>36</v>
      </c>
      <c r="B38" s="407" t="s">
        <v>291</v>
      </c>
      <c r="C38" s="407" t="s">
        <v>291</v>
      </c>
      <c r="D38" s="407" t="s">
        <v>291</v>
      </c>
      <c r="E38" s="407" t="s">
        <v>291</v>
      </c>
      <c r="F38" s="407" t="s">
        <v>291</v>
      </c>
      <c r="G38" s="408">
        <v>10</v>
      </c>
      <c r="H38" s="410">
        <v>400</v>
      </c>
      <c r="I38" s="235"/>
      <c r="J38" s="236"/>
      <c r="K38" s="297">
        <f t="shared" si="1"/>
        <v>4000</v>
      </c>
    </row>
    <row r="39" spans="1:11" ht="49.5" x14ac:dyDescent="0.25">
      <c r="A39" s="288">
        <v>37</v>
      </c>
      <c r="B39" s="407" t="s">
        <v>292</v>
      </c>
      <c r="C39" s="407" t="s">
        <v>292</v>
      </c>
      <c r="D39" s="407" t="s">
        <v>292</v>
      </c>
      <c r="E39" s="407" t="s">
        <v>292</v>
      </c>
      <c r="F39" s="407" t="s">
        <v>292</v>
      </c>
      <c r="G39" s="408">
        <v>10</v>
      </c>
      <c r="H39" s="410">
        <v>500</v>
      </c>
      <c r="I39" s="235"/>
      <c r="J39" s="236"/>
      <c r="K39" s="297">
        <f t="shared" si="1"/>
        <v>5000</v>
      </c>
    </row>
    <row r="40" spans="1:11" ht="33" x14ac:dyDescent="0.25">
      <c r="A40" s="288">
        <v>38</v>
      </c>
      <c r="B40" s="407" t="s">
        <v>293</v>
      </c>
      <c r="C40" s="407" t="s">
        <v>293</v>
      </c>
      <c r="D40" s="407" t="s">
        <v>293</v>
      </c>
      <c r="E40" s="407" t="s">
        <v>293</v>
      </c>
      <c r="F40" s="407" t="s">
        <v>293</v>
      </c>
      <c r="G40" s="408">
        <v>3000</v>
      </c>
      <c r="H40" s="410">
        <v>50</v>
      </c>
      <c r="I40" s="235"/>
      <c r="J40" s="236"/>
      <c r="K40" s="297">
        <f t="shared" si="1"/>
        <v>150000</v>
      </c>
    </row>
    <row r="41" spans="1:11" ht="16.5" x14ac:dyDescent="0.25">
      <c r="A41" s="288"/>
      <c r="B41" s="294"/>
      <c r="C41" s="295"/>
      <c r="D41" s="295"/>
      <c r="E41" s="295"/>
      <c r="F41" s="296"/>
      <c r="G41" s="408"/>
      <c r="H41" s="109"/>
      <c r="I41" s="235"/>
      <c r="J41" s="236"/>
      <c r="K41" s="297"/>
    </row>
    <row r="42" spans="1:11" x14ac:dyDescent="0.25">
      <c r="A42" s="288"/>
      <c r="B42" s="294"/>
      <c r="C42" s="295"/>
      <c r="D42" s="295"/>
      <c r="E42" s="295"/>
      <c r="F42" s="296"/>
      <c r="G42" s="288"/>
      <c r="H42" s="109"/>
      <c r="I42" s="235"/>
      <c r="J42" s="236"/>
      <c r="K42" s="297"/>
    </row>
    <row r="43" spans="1:11" x14ac:dyDescent="0.25">
      <c r="A43" s="288"/>
      <c r="B43" s="294"/>
      <c r="C43" s="295"/>
      <c r="D43" s="295"/>
      <c r="E43" s="295"/>
      <c r="F43" s="296"/>
      <c r="G43" s="288"/>
      <c r="H43" s="109"/>
      <c r="I43" s="235"/>
      <c r="J43" s="236"/>
      <c r="K43" s="297"/>
    </row>
    <row r="44" spans="1:11" x14ac:dyDescent="0.25">
      <c r="A44" s="288"/>
      <c r="B44" s="294"/>
      <c r="C44" s="295"/>
      <c r="D44" s="295"/>
      <c r="E44" s="295"/>
      <c r="F44" s="296"/>
      <c r="G44" s="288"/>
      <c r="H44" s="109"/>
      <c r="I44" s="235"/>
      <c r="J44" s="236"/>
      <c r="K44" s="297"/>
    </row>
    <row r="45" spans="1:11" x14ac:dyDescent="0.25">
      <c r="A45" s="288"/>
      <c r="B45" s="294"/>
      <c r="C45" s="295"/>
      <c r="D45" s="295"/>
      <c r="E45" s="295"/>
      <c r="F45" s="296"/>
      <c r="G45" s="288"/>
      <c r="H45" s="109"/>
      <c r="I45" s="235"/>
      <c r="J45" s="236"/>
      <c r="K45" s="297"/>
    </row>
    <row r="46" spans="1:11" x14ac:dyDescent="0.25">
      <c r="A46" s="288"/>
      <c r="B46" s="294"/>
      <c r="C46" s="295"/>
      <c r="D46" s="295"/>
      <c r="E46" s="295"/>
      <c r="F46" s="296"/>
      <c r="G46" s="288"/>
      <c r="H46" s="109"/>
      <c r="I46" s="235"/>
      <c r="J46" s="236"/>
      <c r="K46" s="297"/>
    </row>
    <row r="47" spans="1:11" x14ac:dyDescent="0.25">
      <c r="A47" s="288"/>
      <c r="B47" s="294"/>
      <c r="C47" s="295"/>
      <c r="D47" s="295"/>
      <c r="E47" s="295"/>
      <c r="F47" s="296"/>
      <c r="G47" s="288"/>
      <c r="H47" s="109"/>
      <c r="I47" s="235"/>
      <c r="J47" s="236"/>
      <c r="K47" s="297"/>
    </row>
    <row r="48" spans="1:11" x14ac:dyDescent="0.25">
      <c r="A48" s="288"/>
      <c r="B48" s="294"/>
      <c r="C48" s="295"/>
      <c r="D48" s="295"/>
      <c r="E48" s="295"/>
      <c r="F48" s="296"/>
      <c r="G48" s="288"/>
      <c r="H48" s="109"/>
      <c r="I48" s="235"/>
      <c r="J48" s="236"/>
      <c r="K48" s="297"/>
    </row>
    <row r="49" spans="1:11" x14ac:dyDescent="0.25">
      <c r="A49" s="288"/>
      <c r="B49" s="294"/>
      <c r="C49" s="295"/>
      <c r="D49" s="295"/>
      <c r="E49" s="295"/>
      <c r="F49" s="296"/>
      <c r="G49" s="288"/>
      <c r="H49" s="109"/>
      <c r="I49" s="235"/>
      <c r="J49" s="236"/>
      <c r="K49" s="297"/>
    </row>
    <row r="50" spans="1:11" ht="15" customHeight="1" x14ac:dyDescent="0.25">
      <c r="A50" s="288"/>
      <c r="B50" s="743"/>
      <c r="C50" s="744"/>
      <c r="D50" s="744"/>
      <c r="E50" s="744"/>
      <c r="F50" s="745"/>
      <c r="G50" s="288"/>
      <c r="H50" s="109"/>
      <c r="I50" s="236"/>
      <c r="J50" s="236"/>
      <c r="K50" s="297"/>
    </row>
    <row r="51" spans="1:11" ht="15" customHeight="1" x14ac:dyDescent="0.25">
      <c r="A51" s="288"/>
      <c r="B51" s="743"/>
      <c r="C51" s="744"/>
      <c r="D51" s="744"/>
      <c r="E51" s="744"/>
      <c r="F51" s="745"/>
      <c r="G51" s="288"/>
      <c r="H51" s="109"/>
      <c r="I51" s="236"/>
      <c r="J51" s="236"/>
      <c r="K51" s="297"/>
    </row>
    <row r="52" spans="1:11" ht="15" customHeight="1" x14ac:dyDescent="0.25">
      <c r="A52" s="288"/>
      <c r="B52" s="749"/>
      <c r="C52" s="749"/>
      <c r="D52" s="749"/>
      <c r="E52" s="749"/>
      <c r="F52" s="749"/>
      <c r="G52" s="288"/>
      <c r="H52" s="109"/>
      <c r="I52" s="750"/>
      <c r="J52" s="751"/>
      <c r="K52" s="751"/>
    </row>
    <row r="53" spans="1:11" ht="15" customHeight="1" x14ac:dyDescent="0.25">
      <c r="A53" s="288"/>
      <c r="B53" s="752"/>
      <c r="C53" s="753"/>
      <c r="D53" s="753"/>
      <c r="E53" s="753"/>
      <c r="F53" s="754"/>
      <c r="G53" s="288"/>
      <c r="H53" s="109"/>
      <c r="I53" s="234"/>
      <c r="J53" s="234"/>
      <c r="K53" s="293"/>
    </row>
    <row r="54" spans="1:11" ht="15" customHeight="1" x14ac:dyDescent="0.25">
      <c r="A54" s="288"/>
      <c r="B54" s="755"/>
      <c r="C54" s="755"/>
      <c r="D54" s="755"/>
      <c r="E54" s="755"/>
      <c r="F54" s="755"/>
      <c r="G54" s="298"/>
      <c r="H54" s="214"/>
      <c r="I54" s="746"/>
      <c r="J54" s="747"/>
      <c r="K54" s="748"/>
    </row>
    <row r="55" spans="1:11" ht="15" customHeight="1" x14ac:dyDescent="0.25">
      <c r="A55" s="288"/>
      <c r="B55" s="752"/>
      <c r="C55" s="753"/>
      <c r="D55" s="753"/>
      <c r="E55" s="753"/>
      <c r="F55" s="754"/>
      <c r="G55" s="288"/>
      <c r="H55" s="109"/>
      <c r="I55" s="756"/>
      <c r="J55" s="756"/>
      <c r="K55" s="756"/>
    </row>
    <row r="56" spans="1:11" ht="15" customHeight="1" x14ac:dyDescent="0.25">
      <c r="A56" s="288"/>
      <c r="B56" s="757"/>
      <c r="C56" s="758"/>
      <c r="D56" s="758"/>
      <c r="E56" s="758"/>
      <c r="F56" s="759"/>
      <c r="G56" s="288"/>
      <c r="H56" s="109"/>
      <c r="I56" s="756"/>
      <c r="J56" s="756"/>
      <c r="K56" s="756"/>
    </row>
    <row r="57" spans="1:11" ht="15" customHeight="1" x14ac:dyDescent="0.25">
      <c r="A57" s="288"/>
      <c r="B57" s="757"/>
      <c r="C57" s="758"/>
      <c r="D57" s="758"/>
      <c r="E57" s="758"/>
      <c r="F57" s="759"/>
      <c r="G57" s="288"/>
      <c r="H57" s="109"/>
      <c r="I57" s="756"/>
      <c r="J57" s="756"/>
      <c r="K57" s="756"/>
    </row>
    <row r="58" spans="1:11" ht="15" customHeight="1" x14ac:dyDescent="0.25">
      <c r="A58" s="288"/>
      <c r="B58" s="757"/>
      <c r="C58" s="758"/>
      <c r="D58" s="758"/>
      <c r="E58" s="758"/>
      <c r="F58" s="759"/>
      <c r="G58" s="288"/>
      <c r="H58" s="109"/>
      <c r="I58" s="756"/>
      <c r="J58" s="756"/>
      <c r="K58" s="756"/>
    </row>
    <row r="59" spans="1:11" ht="15" customHeight="1" x14ac:dyDescent="0.25">
      <c r="A59" s="288"/>
      <c r="B59" s="757"/>
      <c r="C59" s="758"/>
      <c r="D59" s="758"/>
      <c r="E59" s="758"/>
      <c r="F59" s="759"/>
      <c r="G59" s="288"/>
      <c r="H59" s="109"/>
      <c r="I59" s="756"/>
      <c r="J59" s="756"/>
      <c r="K59" s="756"/>
    </row>
    <row r="60" spans="1:11" ht="15" customHeight="1" x14ac:dyDescent="0.25">
      <c r="A60" s="288"/>
      <c r="B60" s="757"/>
      <c r="C60" s="758"/>
      <c r="D60" s="758"/>
      <c r="E60" s="758"/>
      <c r="F60" s="759"/>
      <c r="G60" s="288"/>
      <c r="H60" s="109"/>
      <c r="I60" s="756"/>
      <c r="J60" s="756"/>
      <c r="K60" s="756"/>
    </row>
    <row r="61" spans="1:11" ht="15" customHeight="1" x14ac:dyDescent="0.25">
      <c r="A61" s="288"/>
      <c r="B61" s="738"/>
      <c r="C61" s="738"/>
      <c r="D61" s="738"/>
      <c r="E61" s="738"/>
      <c r="F61" s="738"/>
      <c r="G61" s="264"/>
      <c r="H61" s="265"/>
      <c r="I61" s="234"/>
      <c r="J61" s="234"/>
      <c r="K61" s="293"/>
    </row>
    <row r="62" spans="1:11" ht="15" customHeight="1" x14ac:dyDescent="0.25">
      <c r="A62" s="288"/>
      <c r="B62" s="738"/>
      <c r="C62" s="738"/>
      <c r="D62" s="738"/>
      <c r="E62" s="738"/>
      <c r="F62" s="738"/>
      <c r="G62" s="264"/>
      <c r="H62" s="265"/>
      <c r="I62" s="234"/>
      <c r="J62" s="234"/>
      <c r="K62" s="293"/>
    </row>
    <row r="63" spans="1:11" ht="15" customHeight="1" x14ac:dyDescent="0.25">
      <c r="A63" s="288"/>
      <c r="B63" s="738"/>
      <c r="C63" s="738"/>
      <c r="D63" s="738"/>
      <c r="E63" s="738"/>
      <c r="F63" s="738"/>
      <c r="G63" s="264"/>
      <c r="H63" s="265"/>
      <c r="I63" s="234"/>
      <c r="J63" s="234"/>
      <c r="K63" s="293"/>
    </row>
    <row r="64" spans="1:11" ht="15" customHeight="1" x14ac:dyDescent="0.25">
      <c r="A64" s="288"/>
      <c r="B64" s="738"/>
      <c r="C64" s="738"/>
      <c r="D64" s="738"/>
      <c r="E64" s="738"/>
      <c r="F64" s="738"/>
      <c r="G64" s="264"/>
      <c r="H64" s="265"/>
      <c r="I64" s="234"/>
      <c r="J64" s="234"/>
      <c r="K64" s="293"/>
    </row>
    <row r="65" spans="1:11" ht="15" customHeight="1" x14ac:dyDescent="0.25">
      <c r="A65" s="288"/>
      <c r="B65" s="738"/>
      <c r="C65" s="738"/>
      <c r="D65" s="738"/>
      <c r="E65" s="738"/>
      <c r="F65" s="738"/>
      <c r="G65" s="264"/>
      <c r="H65" s="265"/>
      <c r="I65" s="234"/>
      <c r="J65" s="234"/>
      <c r="K65" s="293"/>
    </row>
    <row r="66" spans="1:11" ht="15" customHeight="1" x14ac:dyDescent="0.25">
      <c r="A66" s="288"/>
      <c r="B66" s="738"/>
      <c r="C66" s="738"/>
      <c r="D66" s="738"/>
      <c r="E66" s="738"/>
      <c r="F66" s="738"/>
      <c r="G66" s="264"/>
      <c r="H66" s="265"/>
      <c r="I66" s="234"/>
      <c r="J66" s="234"/>
      <c r="K66" s="293"/>
    </row>
    <row r="67" spans="1:11" ht="15" customHeight="1" x14ac:dyDescent="0.25">
      <c r="A67" s="288"/>
      <c r="B67" s="738"/>
      <c r="C67" s="738"/>
      <c r="D67" s="738"/>
      <c r="E67" s="738"/>
      <c r="F67" s="738"/>
      <c r="G67" s="264"/>
      <c r="H67" s="265"/>
      <c r="I67" s="234"/>
      <c r="J67" s="234"/>
      <c r="K67" s="293"/>
    </row>
    <row r="68" spans="1:11" ht="15" customHeight="1" x14ac:dyDescent="0.25">
      <c r="A68" s="288"/>
      <c r="B68" s="738"/>
      <c r="C68" s="738"/>
      <c r="D68" s="738"/>
      <c r="E68" s="738"/>
      <c r="F68" s="738"/>
      <c r="G68" s="264"/>
      <c r="H68" s="265"/>
      <c r="I68" s="234"/>
      <c r="J68" s="234"/>
      <c r="K68" s="293"/>
    </row>
    <row r="69" spans="1:11" ht="15" customHeight="1" x14ac:dyDescent="0.25">
      <c r="A69" s="288"/>
      <c r="B69" s="738"/>
      <c r="C69" s="738"/>
      <c r="D69" s="738"/>
      <c r="E69" s="738"/>
      <c r="F69" s="738"/>
      <c r="G69" s="264"/>
      <c r="H69" s="265"/>
      <c r="I69" s="234"/>
      <c r="J69" s="234"/>
      <c r="K69" s="293"/>
    </row>
    <row r="70" spans="1:11" ht="15" customHeight="1" x14ac:dyDescent="0.25">
      <c r="A70" s="288"/>
      <c r="B70" s="738"/>
      <c r="C70" s="738"/>
      <c r="D70" s="738"/>
      <c r="E70" s="738"/>
      <c r="F70" s="738"/>
      <c r="G70" s="264"/>
      <c r="H70" s="265"/>
      <c r="I70" s="234"/>
      <c r="J70" s="234"/>
      <c r="K70" s="293"/>
    </row>
    <row r="71" spans="1:11" ht="15" customHeight="1" x14ac:dyDescent="0.25">
      <c r="A71" s="288"/>
      <c r="B71" s="738"/>
      <c r="C71" s="738"/>
      <c r="D71" s="738"/>
      <c r="E71" s="738"/>
      <c r="F71" s="738"/>
      <c r="G71" s="264"/>
      <c r="H71" s="265"/>
      <c r="I71" s="234"/>
      <c r="J71" s="234"/>
      <c r="K71" s="293"/>
    </row>
    <row r="72" spans="1:11" ht="15" customHeight="1" x14ac:dyDescent="0.25">
      <c r="A72" s="288"/>
      <c r="B72" s="738"/>
      <c r="C72" s="738"/>
      <c r="D72" s="738"/>
      <c r="E72" s="738"/>
      <c r="F72" s="738"/>
      <c r="G72" s="264"/>
      <c r="H72" s="265"/>
      <c r="I72" s="234"/>
      <c r="J72" s="234"/>
      <c r="K72" s="293"/>
    </row>
    <row r="73" spans="1:11" ht="15" customHeight="1" x14ac:dyDescent="0.25">
      <c r="A73" s="288"/>
      <c r="B73" s="738"/>
      <c r="C73" s="738"/>
      <c r="D73" s="738"/>
      <c r="E73" s="738"/>
      <c r="F73" s="738"/>
      <c r="G73" s="264"/>
      <c r="H73" s="265"/>
      <c r="I73" s="234"/>
      <c r="J73" s="234"/>
      <c r="K73" s="293"/>
    </row>
    <row r="74" spans="1:11" ht="15" customHeight="1" x14ac:dyDescent="0.25">
      <c r="A74" s="288"/>
      <c r="B74" s="738"/>
      <c r="C74" s="738"/>
      <c r="D74" s="738"/>
      <c r="E74" s="738"/>
      <c r="F74" s="738"/>
      <c r="G74" s="264"/>
      <c r="H74" s="265"/>
      <c r="I74" s="234"/>
      <c r="J74" s="234"/>
      <c r="K74" s="293"/>
    </row>
    <row r="75" spans="1:11" ht="15" customHeight="1" x14ac:dyDescent="0.25">
      <c r="A75" s="288"/>
      <c r="B75" s="738"/>
      <c r="C75" s="738"/>
      <c r="D75" s="738"/>
      <c r="E75" s="738"/>
      <c r="F75" s="738"/>
      <c r="G75" s="264"/>
      <c r="H75" s="265"/>
      <c r="I75" s="234"/>
      <c r="J75" s="234"/>
      <c r="K75" s="293"/>
    </row>
    <row r="76" spans="1:11" ht="15" customHeight="1" x14ac:dyDescent="0.25">
      <c r="A76" s="288"/>
      <c r="B76" s="738"/>
      <c r="C76" s="738"/>
      <c r="D76" s="738"/>
      <c r="E76" s="738"/>
      <c r="F76" s="738"/>
      <c r="G76" s="264"/>
      <c r="H76" s="265"/>
      <c r="I76" s="234"/>
      <c r="J76" s="234"/>
      <c r="K76" s="293"/>
    </row>
    <row r="77" spans="1:11" ht="15" customHeight="1" x14ac:dyDescent="0.25">
      <c r="A77" s="288"/>
      <c r="B77" s="738"/>
      <c r="C77" s="738"/>
      <c r="D77" s="738"/>
      <c r="E77" s="738"/>
      <c r="F77" s="738"/>
      <c r="G77" s="264"/>
      <c r="H77" s="265"/>
      <c r="I77" s="234"/>
      <c r="J77" s="234"/>
      <c r="K77" s="293"/>
    </row>
    <row r="78" spans="1:11" ht="15" customHeight="1" x14ac:dyDescent="0.25">
      <c r="A78" s="288"/>
      <c r="B78" s="738"/>
      <c r="C78" s="738"/>
      <c r="D78" s="738"/>
      <c r="E78" s="738"/>
      <c r="F78" s="738"/>
      <c r="G78" s="264"/>
      <c r="H78" s="265"/>
      <c r="I78" s="234"/>
      <c r="J78" s="234"/>
      <c r="K78" s="293"/>
    </row>
    <row r="79" spans="1:11" ht="15" customHeight="1" x14ac:dyDescent="0.25">
      <c r="A79" s="288"/>
      <c r="B79" s="738"/>
      <c r="C79" s="738"/>
      <c r="D79" s="738"/>
      <c r="E79" s="738"/>
      <c r="F79" s="738"/>
      <c r="G79" s="264"/>
      <c r="H79" s="265"/>
      <c r="I79" s="234"/>
      <c r="J79" s="234"/>
      <c r="K79" s="293"/>
    </row>
    <row r="80" spans="1:11" ht="15" customHeight="1" x14ac:dyDescent="0.25">
      <c r="A80" s="288"/>
      <c r="B80" s="738"/>
      <c r="C80" s="738"/>
      <c r="D80" s="738"/>
      <c r="E80" s="738"/>
      <c r="F80" s="738"/>
      <c r="G80" s="264"/>
      <c r="H80" s="265"/>
      <c r="I80" s="234"/>
      <c r="J80" s="234"/>
      <c r="K80" s="293"/>
    </row>
    <row r="81" spans="1:11" ht="15" customHeight="1" x14ac:dyDescent="0.25">
      <c r="A81" s="288"/>
      <c r="B81" s="738"/>
      <c r="C81" s="738"/>
      <c r="D81" s="738"/>
      <c r="E81" s="738"/>
      <c r="F81" s="738"/>
      <c r="G81" s="264"/>
      <c r="H81" s="265"/>
      <c r="I81" s="234"/>
      <c r="J81" s="234"/>
      <c r="K81" s="293"/>
    </row>
    <row r="82" spans="1:11" ht="15" customHeight="1" x14ac:dyDescent="0.25">
      <c r="A82" s="288"/>
      <c r="B82" s="738"/>
      <c r="C82" s="738"/>
      <c r="D82" s="738"/>
      <c r="E82" s="738"/>
      <c r="F82" s="738"/>
      <c r="G82" s="264"/>
      <c r="H82" s="265"/>
      <c r="I82" s="234"/>
      <c r="J82" s="234"/>
      <c r="K82" s="293"/>
    </row>
    <row r="83" spans="1:11" ht="15" customHeight="1" x14ac:dyDescent="0.25">
      <c r="A83" s="288"/>
      <c r="B83" s="738"/>
      <c r="C83" s="738"/>
      <c r="D83" s="738"/>
      <c r="E83" s="738"/>
      <c r="F83" s="738"/>
      <c r="G83" s="264"/>
      <c r="H83" s="265"/>
      <c r="I83" s="234"/>
      <c r="J83" s="234"/>
      <c r="K83" s="293"/>
    </row>
    <row r="84" spans="1:11" ht="15" customHeight="1" x14ac:dyDescent="0.25">
      <c r="A84" s="288"/>
      <c r="B84" s="738"/>
      <c r="C84" s="738"/>
      <c r="D84" s="738"/>
      <c r="E84" s="738"/>
      <c r="F84" s="738"/>
      <c r="G84" s="264"/>
      <c r="H84" s="265"/>
      <c r="I84" s="234"/>
      <c r="J84" s="234"/>
      <c r="K84" s="293"/>
    </row>
    <row r="85" spans="1:11" ht="15" customHeight="1" x14ac:dyDescent="0.25">
      <c r="A85" s="288"/>
      <c r="B85" s="738"/>
      <c r="C85" s="738"/>
      <c r="D85" s="738"/>
      <c r="E85" s="738"/>
      <c r="F85" s="738"/>
      <c r="G85" s="264"/>
      <c r="H85" s="265"/>
      <c r="I85" s="234"/>
      <c r="J85" s="234"/>
      <c r="K85" s="293"/>
    </row>
    <row r="86" spans="1:11" ht="15" customHeight="1" x14ac:dyDescent="0.25">
      <c r="A86" s="288"/>
      <c r="B86" s="738"/>
      <c r="C86" s="738"/>
      <c r="D86" s="738"/>
      <c r="E86" s="738"/>
      <c r="F86" s="738"/>
      <c r="G86" s="264"/>
      <c r="H86" s="265"/>
      <c r="I86" s="234"/>
      <c r="J86" s="234"/>
      <c r="K86" s="293"/>
    </row>
    <row r="87" spans="1:11" ht="15" customHeight="1" x14ac:dyDescent="0.25">
      <c r="A87" s="288"/>
      <c r="B87" s="738"/>
      <c r="C87" s="738"/>
      <c r="D87" s="738"/>
      <c r="E87" s="738"/>
      <c r="F87" s="738"/>
      <c r="G87" s="264"/>
      <c r="H87" s="265"/>
      <c r="I87" s="234"/>
      <c r="J87" s="234"/>
      <c r="K87" s="293"/>
    </row>
    <row r="88" spans="1:11" ht="15" customHeight="1" x14ac:dyDescent="0.25">
      <c r="A88" s="288"/>
      <c r="B88" s="738"/>
      <c r="C88" s="738"/>
      <c r="D88" s="738"/>
      <c r="E88" s="738"/>
      <c r="F88" s="738"/>
      <c r="G88" s="264"/>
      <c r="H88" s="265"/>
      <c r="I88" s="234"/>
      <c r="J88" s="234"/>
      <c r="K88" s="293"/>
    </row>
    <row r="89" spans="1:11" ht="15" customHeight="1" x14ac:dyDescent="0.25">
      <c r="A89" s="288"/>
      <c r="B89" s="738"/>
      <c r="C89" s="738"/>
      <c r="D89" s="738"/>
      <c r="E89" s="738"/>
      <c r="F89" s="738"/>
      <c r="G89" s="264"/>
      <c r="H89" s="265"/>
      <c r="I89" s="234"/>
      <c r="J89" s="234"/>
      <c r="K89" s="293"/>
    </row>
    <row r="90" spans="1:11" ht="15" customHeight="1" x14ac:dyDescent="0.25">
      <c r="A90" s="288"/>
      <c r="B90" s="738"/>
      <c r="C90" s="738"/>
      <c r="D90" s="738"/>
      <c r="E90" s="738"/>
      <c r="F90" s="738"/>
      <c r="G90" s="264"/>
      <c r="H90" s="265"/>
      <c r="I90" s="234"/>
      <c r="J90" s="234"/>
      <c r="K90" s="293"/>
    </row>
    <row r="91" spans="1:11" ht="15" customHeight="1" x14ac:dyDescent="0.25">
      <c r="A91" s="288"/>
      <c r="B91" s="738"/>
      <c r="C91" s="738"/>
      <c r="D91" s="738"/>
      <c r="E91" s="738"/>
      <c r="F91" s="738"/>
      <c r="G91" s="264"/>
      <c r="H91" s="265"/>
      <c r="I91" s="234"/>
      <c r="J91" s="234"/>
      <c r="K91" s="293"/>
    </row>
    <row r="92" spans="1:11" ht="15" customHeight="1" x14ac:dyDescent="0.25">
      <c r="A92" s="288"/>
      <c r="B92" s="738"/>
      <c r="C92" s="738"/>
      <c r="D92" s="738"/>
      <c r="E92" s="738"/>
      <c r="F92" s="738"/>
      <c r="G92" s="264"/>
      <c r="H92" s="265"/>
      <c r="I92" s="234"/>
      <c r="J92" s="234"/>
      <c r="K92" s="293"/>
    </row>
    <row r="93" spans="1:11" ht="15" customHeight="1" x14ac:dyDescent="0.25">
      <c r="A93" s="288"/>
      <c r="B93" s="738"/>
      <c r="C93" s="738"/>
      <c r="D93" s="738"/>
      <c r="E93" s="738"/>
      <c r="F93" s="738"/>
      <c r="G93" s="264"/>
      <c r="H93" s="265"/>
      <c r="I93" s="234"/>
      <c r="J93" s="234"/>
      <c r="K93" s="293"/>
    </row>
    <row r="94" spans="1:11" ht="15" customHeight="1" x14ac:dyDescent="0.25">
      <c r="A94" s="288"/>
      <c r="B94" s="738"/>
      <c r="C94" s="738"/>
      <c r="D94" s="738"/>
      <c r="E94" s="738"/>
      <c r="F94" s="738"/>
      <c r="G94" s="264"/>
      <c r="H94" s="265"/>
      <c r="I94" s="234"/>
      <c r="J94" s="234"/>
      <c r="K94" s="293"/>
    </row>
    <row r="95" spans="1:11" ht="15" customHeight="1" x14ac:dyDescent="0.25">
      <c r="A95" s="288"/>
      <c r="B95" s="738"/>
      <c r="C95" s="738"/>
      <c r="D95" s="738"/>
      <c r="E95" s="738"/>
      <c r="F95" s="738"/>
      <c r="G95" s="264"/>
      <c r="H95" s="265"/>
      <c r="I95" s="234"/>
      <c r="J95" s="234"/>
      <c r="K95" s="293"/>
    </row>
    <row r="96" spans="1:11" ht="15" customHeight="1" x14ac:dyDescent="0.25">
      <c r="A96" s="288"/>
      <c r="B96" s="738"/>
      <c r="C96" s="738"/>
      <c r="D96" s="738"/>
      <c r="E96" s="738"/>
      <c r="F96" s="738"/>
      <c r="G96" s="264"/>
      <c r="H96" s="265"/>
      <c r="I96" s="234"/>
      <c r="J96" s="234"/>
      <c r="K96" s="293"/>
    </row>
    <row r="97" spans="1:11" ht="15" customHeight="1" x14ac:dyDescent="0.25">
      <c r="A97" s="288"/>
      <c r="B97" s="738"/>
      <c r="C97" s="738"/>
      <c r="D97" s="738"/>
      <c r="E97" s="738"/>
      <c r="F97" s="738"/>
      <c r="G97" s="264"/>
      <c r="H97" s="265"/>
      <c r="I97" s="234"/>
      <c r="J97" s="234"/>
      <c r="K97" s="293"/>
    </row>
    <row r="98" spans="1:11" ht="15" customHeight="1" x14ac:dyDescent="0.25">
      <c r="A98" s="288"/>
      <c r="B98" s="738"/>
      <c r="C98" s="738"/>
      <c r="D98" s="738"/>
      <c r="E98" s="738"/>
      <c r="F98" s="738"/>
      <c r="G98" s="264"/>
      <c r="H98" s="265"/>
      <c r="I98" s="234"/>
      <c r="J98" s="234"/>
      <c r="K98" s="293"/>
    </row>
    <row r="99" spans="1:11" ht="15" customHeight="1" x14ac:dyDescent="0.25">
      <c r="A99" s="288"/>
      <c r="B99" s="738"/>
      <c r="C99" s="738"/>
      <c r="D99" s="738"/>
      <c r="E99" s="738"/>
      <c r="F99" s="738"/>
      <c r="G99" s="264"/>
      <c r="H99" s="265"/>
      <c r="I99" s="234"/>
      <c r="J99" s="234"/>
      <c r="K99" s="293"/>
    </row>
    <row r="100" spans="1:11" ht="15" customHeight="1" x14ac:dyDescent="0.25">
      <c r="A100" s="288"/>
      <c r="B100" s="738"/>
      <c r="C100" s="738"/>
      <c r="D100" s="738"/>
      <c r="E100" s="738"/>
      <c r="F100" s="738"/>
      <c r="G100" s="264"/>
      <c r="H100" s="265"/>
      <c r="I100" s="234"/>
      <c r="J100" s="234"/>
      <c r="K100" s="293"/>
    </row>
    <row r="101" spans="1:11" ht="15" customHeight="1" x14ac:dyDescent="0.25">
      <c r="A101" s="288"/>
      <c r="B101" s="738"/>
      <c r="C101" s="738"/>
      <c r="D101" s="738"/>
      <c r="E101" s="738"/>
      <c r="F101" s="738"/>
      <c r="G101" s="264"/>
      <c r="H101" s="265"/>
      <c r="I101" s="234"/>
      <c r="J101" s="234"/>
      <c r="K101" s="293"/>
    </row>
    <row r="102" spans="1:11" ht="15" customHeight="1" x14ac:dyDescent="0.25">
      <c r="A102" s="288"/>
      <c r="B102" s="738"/>
      <c r="C102" s="738"/>
      <c r="D102" s="738"/>
      <c r="E102" s="738"/>
      <c r="F102" s="738"/>
      <c r="G102" s="264"/>
      <c r="H102" s="265"/>
      <c r="I102" s="234"/>
      <c r="J102" s="234"/>
      <c r="K102" s="293"/>
    </row>
    <row r="103" spans="1:11" ht="15" customHeight="1" x14ac:dyDescent="0.25">
      <c r="A103" s="288"/>
      <c r="B103" s="738"/>
      <c r="C103" s="738"/>
      <c r="D103" s="738"/>
      <c r="E103" s="738"/>
      <c r="F103" s="738"/>
      <c r="G103" s="264"/>
      <c r="H103" s="265"/>
      <c r="I103" s="234"/>
      <c r="J103" s="234"/>
      <c r="K103" s="293"/>
    </row>
    <row r="104" spans="1:11" ht="15" customHeight="1" x14ac:dyDescent="0.25">
      <c r="A104" s="288"/>
      <c r="B104" s="738"/>
      <c r="C104" s="738"/>
      <c r="D104" s="738"/>
      <c r="E104" s="738"/>
      <c r="F104" s="738"/>
      <c r="G104" s="264"/>
      <c r="H104" s="265"/>
      <c r="I104" s="234"/>
      <c r="J104" s="234"/>
      <c r="K104" s="293"/>
    </row>
    <row r="105" spans="1:11" ht="15" customHeight="1" x14ac:dyDescent="0.25">
      <c r="A105" s="288"/>
      <c r="B105" s="738"/>
      <c r="C105" s="738"/>
      <c r="D105" s="738"/>
      <c r="E105" s="738"/>
      <c r="F105" s="738"/>
      <c r="G105" s="264"/>
      <c r="H105" s="265"/>
      <c r="I105" s="234"/>
      <c r="J105" s="234"/>
      <c r="K105" s="293"/>
    </row>
    <row r="106" spans="1:11" ht="15" customHeight="1" x14ac:dyDescent="0.25">
      <c r="A106" s="288"/>
      <c r="B106" s="738"/>
      <c r="C106" s="738"/>
      <c r="D106" s="738"/>
      <c r="E106" s="738"/>
      <c r="F106" s="738"/>
      <c r="G106" s="264"/>
      <c r="H106" s="265"/>
      <c r="I106" s="234"/>
      <c r="J106" s="234"/>
      <c r="K106" s="293"/>
    </row>
    <row r="107" spans="1:11" ht="15" customHeight="1" x14ac:dyDescent="0.25">
      <c r="A107" s="288"/>
      <c r="B107" s="738"/>
      <c r="C107" s="738"/>
      <c r="D107" s="738"/>
      <c r="E107" s="738"/>
      <c r="F107" s="738"/>
      <c r="G107" s="264"/>
      <c r="H107" s="265"/>
      <c r="I107" s="234"/>
      <c r="J107" s="234"/>
      <c r="K107" s="293"/>
    </row>
    <row r="108" spans="1:11" ht="15" customHeight="1" x14ac:dyDescent="0.25">
      <c r="A108" s="288"/>
      <c r="B108" s="738"/>
      <c r="C108" s="738"/>
      <c r="D108" s="738"/>
      <c r="E108" s="738"/>
      <c r="F108" s="738"/>
      <c r="G108" s="264"/>
      <c r="H108" s="265"/>
      <c r="I108" s="234"/>
      <c r="J108" s="234"/>
      <c r="K108" s="293"/>
    </row>
    <row r="109" spans="1:11" x14ac:dyDescent="0.25">
      <c r="A109" s="288"/>
      <c r="B109" s="738"/>
      <c r="C109" s="738"/>
      <c r="D109" s="738"/>
      <c r="E109" s="738"/>
      <c r="F109" s="738"/>
      <c r="G109" s="264"/>
      <c r="H109" s="265"/>
      <c r="I109" s="234"/>
      <c r="J109" s="234"/>
      <c r="K109" s="293"/>
    </row>
    <row r="110" spans="1:11" ht="15" customHeight="1" x14ac:dyDescent="0.25">
      <c r="A110" s="288"/>
      <c r="B110" s="738"/>
      <c r="C110" s="738"/>
      <c r="D110" s="738"/>
      <c r="E110" s="738"/>
      <c r="F110" s="738"/>
      <c r="G110" s="264"/>
      <c r="H110" s="265"/>
      <c r="I110" s="234"/>
      <c r="J110" s="234"/>
      <c r="K110" s="293"/>
    </row>
    <row r="111" spans="1:11" ht="15" customHeight="1" x14ac:dyDescent="0.25">
      <c r="A111" s="288"/>
      <c r="B111" s="735"/>
      <c r="C111" s="736"/>
      <c r="D111" s="736"/>
      <c r="E111" s="736"/>
      <c r="F111" s="737"/>
      <c r="G111" s="264"/>
      <c r="H111" s="265"/>
      <c r="I111" s="292"/>
      <c r="J111" s="292"/>
      <c r="K111" s="293"/>
    </row>
    <row r="112" spans="1:11" ht="15" customHeight="1" x14ac:dyDescent="0.25">
      <c r="A112" s="288"/>
      <c r="B112" s="735"/>
      <c r="C112" s="736"/>
      <c r="D112" s="736"/>
      <c r="E112" s="736"/>
      <c r="F112" s="737"/>
      <c r="G112" s="264"/>
      <c r="H112" s="265"/>
      <c r="I112" s="292"/>
      <c r="J112" s="292"/>
      <c r="K112" s="293"/>
    </row>
    <row r="113" spans="1:11" ht="15" customHeight="1" x14ac:dyDescent="0.25">
      <c r="A113" s="288"/>
      <c r="B113" s="735"/>
      <c r="C113" s="736"/>
      <c r="D113" s="736"/>
      <c r="E113" s="736"/>
      <c r="F113" s="737"/>
      <c r="G113" s="264"/>
      <c r="H113" s="265"/>
      <c r="I113" s="292"/>
      <c r="J113" s="292"/>
      <c r="K113" s="293"/>
    </row>
    <row r="114" spans="1:11" ht="15" customHeight="1" x14ac:dyDescent="0.25">
      <c r="A114" s="288"/>
      <c r="B114" s="735"/>
      <c r="C114" s="736"/>
      <c r="D114" s="736"/>
      <c r="E114" s="736"/>
      <c r="F114" s="737"/>
      <c r="G114" s="264"/>
      <c r="H114" s="265"/>
      <c r="I114" s="292"/>
      <c r="J114" s="292"/>
      <c r="K114" s="293"/>
    </row>
    <row r="115" spans="1:11" x14ac:dyDescent="0.25">
      <c r="A115" s="288"/>
      <c r="B115" s="735"/>
      <c r="C115" s="736"/>
      <c r="D115" s="736"/>
      <c r="E115" s="736"/>
      <c r="F115" s="737"/>
      <c r="G115" s="264"/>
      <c r="H115" s="265"/>
      <c r="I115" s="725"/>
      <c r="J115" s="726"/>
      <c r="K115" s="727"/>
    </row>
    <row r="116" spans="1:11" x14ac:dyDescent="0.25">
      <c r="A116" s="288"/>
      <c r="B116" s="738"/>
      <c r="C116" s="738"/>
      <c r="D116" s="738"/>
      <c r="E116" s="738"/>
      <c r="F116" s="738"/>
      <c r="G116" s="264"/>
      <c r="H116" s="265"/>
      <c r="I116" s="726"/>
      <c r="J116" s="726"/>
      <c r="K116" s="727"/>
    </row>
    <row r="117" spans="1:11" ht="15.75" x14ac:dyDescent="0.25">
      <c r="A117" s="288"/>
      <c r="B117" s="724"/>
      <c r="C117" s="724"/>
      <c r="D117" s="724"/>
      <c r="E117" s="724"/>
      <c r="F117" s="724"/>
      <c r="G117" s="266"/>
      <c r="H117" s="266"/>
      <c r="I117" s="289"/>
      <c r="J117" s="289"/>
      <c r="K117" s="290"/>
    </row>
    <row r="118" spans="1:11" ht="15.75" x14ac:dyDescent="0.25">
      <c r="A118" s="288"/>
      <c r="B118" s="724"/>
      <c r="C118" s="724"/>
      <c r="D118" s="724"/>
      <c r="E118" s="724"/>
      <c r="F118" s="724"/>
      <c r="G118" s="266"/>
      <c r="H118" s="266"/>
      <c r="I118" s="289"/>
      <c r="J118" s="289"/>
      <c r="K118" s="290"/>
    </row>
    <row r="119" spans="1:11" ht="15.75" x14ac:dyDescent="0.25">
      <c r="A119" s="288"/>
      <c r="B119" s="724"/>
      <c r="C119" s="724"/>
      <c r="D119" s="724"/>
      <c r="E119" s="724"/>
      <c r="F119" s="724"/>
      <c r="G119" s="266"/>
      <c r="H119" s="266"/>
      <c r="I119" s="289"/>
      <c r="J119" s="289"/>
      <c r="K119" s="290"/>
    </row>
    <row r="120" spans="1:11" ht="15.75" x14ac:dyDescent="0.25">
      <c r="A120" s="288"/>
      <c r="B120" s="724"/>
      <c r="C120" s="724"/>
      <c r="D120" s="724"/>
      <c r="E120" s="724"/>
      <c r="F120" s="724"/>
      <c r="G120" s="266"/>
      <c r="H120" s="266"/>
      <c r="I120" s="289"/>
      <c r="J120" s="289"/>
      <c r="K120" s="290"/>
    </row>
    <row r="121" spans="1:11" ht="15.75" x14ac:dyDescent="0.25">
      <c r="A121" s="288"/>
      <c r="B121" s="724"/>
      <c r="C121" s="724"/>
      <c r="D121" s="724"/>
      <c r="E121" s="724"/>
      <c r="F121" s="724"/>
      <c r="G121" s="266"/>
      <c r="H121" s="266"/>
      <c r="I121" s="289"/>
      <c r="J121" s="289"/>
      <c r="K121" s="290"/>
    </row>
    <row r="122" spans="1:11" ht="15.75" x14ac:dyDescent="0.25">
      <c r="A122" s="288"/>
      <c r="B122" s="724"/>
      <c r="C122" s="724"/>
      <c r="D122" s="724"/>
      <c r="E122" s="724"/>
      <c r="F122" s="724"/>
      <c r="G122" s="266"/>
      <c r="H122" s="266"/>
      <c r="I122" s="289"/>
      <c r="J122" s="289"/>
      <c r="K122" s="290"/>
    </row>
    <row r="123" spans="1:11" ht="15.75" x14ac:dyDescent="0.25">
      <c r="A123" s="288"/>
      <c r="B123" s="724"/>
      <c r="C123" s="724"/>
      <c r="D123" s="724"/>
      <c r="E123" s="724"/>
      <c r="F123" s="724"/>
      <c r="G123" s="266"/>
      <c r="H123" s="266"/>
      <c r="I123" s="289"/>
      <c r="J123" s="289"/>
      <c r="K123" s="290"/>
    </row>
    <row r="124" spans="1:11" ht="15.75" x14ac:dyDescent="0.25">
      <c r="A124" s="288"/>
      <c r="B124" s="724"/>
      <c r="C124" s="724"/>
      <c r="D124" s="724"/>
      <c r="E124" s="724"/>
      <c r="F124" s="724"/>
      <c r="G124" s="266"/>
      <c r="H124" s="266"/>
      <c r="I124" s="289"/>
      <c r="J124" s="289"/>
      <c r="K124" s="290"/>
    </row>
    <row r="125" spans="1:11" ht="15.75" x14ac:dyDescent="0.25">
      <c r="A125" s="288"/>
      <c r="B125" s="724"/>
      <c r="C125" s="724"/>
      <c r="D125" s="724"/>
      <c r="E125" s="724"/>
      <c r="F125" s="724"/>
      <c r="G125" s="266"/>
      <c r="H125" s="266"/>
      <c r="I125" s="289"/>
      <c r="J125" s="289"/>
      <c r="K125" s="290"/>
    </row>
    <row r="126" spans="1:11" ht="15.75" x14ac:dyDescent="0.25">
      <c r="A126" s="288"/>
      <c r="B126" s="724"/>
      <c r="C126" s="724"/>
      <c r="D126" s="724"/>
      <c r="E126" s="724"/>
      <c r="F126" s="724"/>
      <c r="G126" s="266"/>
      <c r="H126" s="266"/>
      <c r="I126" s="289"/>
      <c r="J126" s="289"/>
      <c r="K126" s="290"/>
    </row>
    <row r="127" spans="1:11" ht="15.75" x14ac:dyDescent="0.25">
      <c r="A127" s="288"/>
      <c r="B127" s="724"/>
      <c r="C127" s="724"/>
      <c r="D127" s="724"/>
      <c r="E127" s="724"/>
      <c r="F127" s="724"/>
      <c r="G127" s="266"/>
      <c r="H127" s="266"/>
      <c r="I127" s="289"/>
      <c r="J127" s="289"/>
      <c r="K127" s="290"/>
    </row>
    <row r="128" spans="1:11" ht="15.75" x14ac:dyDescent="0.25">
      <c r="A128" s="288"/>
      <c r="B128" s="724"/>
      <c r="C128" s="724"/>
      <c r="D128" s="724"/>
      <c r="E128" s="724"/>
      <c r="F128" s="724"/>
      <c r="G128" s="266"/>
      <c r="H128" s="266"/>
      <c r="I128" s="289"/>
      <c r="J128" s="289"/>
      <c r="K128" s="290"/>
    </row>
    <row r="129" spans="1:11" ht="15.75" x14ac:dyDescent="0.25">
      <c r="A129" s="288"/>
      <c r="B129" s="724"/>
      <c r="C129" s="724"/>
      <c r="D129" s="724"/>
      <c r="E129" s="724"/>
      <c r="F129" s="724"/>
      <c r="G129" s="266"/>
      <c r="H129" s="266"/>
      <c r="I129" s="289"/>
      <c r="J129" s="289"/>
      <c r="K129" s="290"/>
    </row>
    <row r="130" spans="1:11" ht="15.75" x14ac:dyDescent="0.25">
      <c r="A130" s="288"/>
      <c r="B130" s="724"/>
      <c r="C130" s="724"/>
      <c r="D130" s="724"/>
      <c r="E130" s="724"/>
      <c r="F130" s="724"/>
      <c r="G130" s="266"/>
      <c r="H130" s="266"/>
      <c r="I130" s="289"/>
      <c r="J130" s="289"/>
      <c r="K130" s="290"/>
    </row>
    <row r="131" spans="1:11" ht="15.75" x14ac:dyDescent="0.25">
      <c r="A131" s="288"/>
      <c r="B131" s="724"/>
      <c r="C131" s="724"/>
      <c r="D131" s="724"/>
      <c r="E131" s="724"/>
      <c r="F131" s="724"/>
      <c r="G131" s="266"/>
      <c r="H131" s="266"/>
      <c r="I131" s="289"/>
      <c r="J131" s="289"/>
      <c r="K131" s="290"/>
    </row>
    <row r="132" spans="1:11" ht="15.75" x14ac:dyDescent="0.25">
      <c r="A132" s="288"/>
      <c r="B132" s="724"/>
      <c r="C132" s="724"/>
      <c r="D132" s="724"/>
      <c r="E132" s="724"/>
      <c r="F132" s="724"/>
      <c r="G132" s="266"/>
      <c r="H132" s="266"/>
      <c r="I132" s="289"/>
      <c r="J132" s="289"/>
      <c r="K132" s="290"/>
    </row>
    <row r="133" spans="1:11" ht="15.75" x14ac:dyDescent="0.25">
      <c r="A133" s="288"/>
      <c r="B133" s="724"/>
      <c r="C133" s="724"/>
      <c r="D133" s="724"/>
      <c r="E133" s="724"/>
      <c r="F133" s="724"/>
      <c r="G133" s="266"/>
      <c r="H133" s="266"/>
      <c r="I133" s="289"/>
      <c r="J133" s="289"/>
      <c r="K133" s="290"/>
    </row>
    <row r="134" spans="1:11" ht="15.75" x14ac:dyDescent="0.25">
      <c r="A134" s="288"/>
      <c r="B134" s="724"/>
      <c r="C134" s="724"/>
      <c r="D134" s="724"/>
      <c r="E134" s="724"/>
      <c r="F134" s="724"/>
      <c r="G134" s="266"/>
      <c r="H134" s="266"/>
      <c r="I134" s="289"/>
      <c r="J134" s="289"/>
      <c r="K134" s="290"/>
    </row>
    <row r="135" spans="1:11" ht="15.75" x14ac:dyDescent="0.25">
      <c r="A135" s="288"/>
      <c r="B135" s="724"/>
      <c r="C135" s="724"/>
      <c r="D135" s="724"/>
      <c r="E135" s="724"/>
      <c r="F135" s="724"/>
      <c r="G135" s="266"/>
      <c r="H135" s="266"/>
      <c r="I135" s="289"/>
      <c r="J135" s="289"/>
      <c r="K135" s="290"/>
    </row>
    <row r="136" spans="1:11" ht="15.75" x14ac:dyDescent="0.25">
      <c r="A136" s="288"/>
      <c r="B136" s="724"/>
      <c r="C136" s="724"/>
      <c r="D136" s="724"/>
      <c r="E136" s="724"/>
      <c r="F136" s="724"/>
      <c r="G136" s="266"/>
      <c r="H136" s="266"/>
      <c r="I136" s="289"/>
      <c r="J136" s="289"/>
      <c r="K136" s="290"/>
    </row>
    <row r="137" spans="1:11" ht="15.75" x14ac:dyDescent="0.25">
      <c r="A137" s="288"/>
      <c r="B137" s="724"/>
      <c r="C137" s="724"/>
      <c r="D137" s="724"/>
      <c r="E137" s="724"/>
      <c r="F137" s="724"/>
      <c r="G137" s="266"/>
      <c r="H137" s="266"/>
      <c r="I137" s="289"/>
      <c r="J137" s="289"/>
      <c r="K137" s="290"/>
    </row>
    <row r="138" spans="1:11" ht="15.75" x14ac:dyDescent="0.25">
      <c r="A138" s="288"/>
      <c r="B138" s="724"/>
      <c r="C138" s="724"/>
      <c r="D138" s="724"/>
      <c r="E138" s="724"/>
      <c r="F138" s="724"/>
      <c r="G138" s="266"/>
      <c r="H138" s="266"/>
      <c r="I138" s="289"/>
      <c r="J138" s="289"/>
      <c r="K138" s="290"/>
    </row>
    <row r="139" spans="1:11" ht="15.75" x14ac:dyDescent="0.25">
      <c r="A139" s="288"/>
      <c r="B139" s="724"/>
      <c r="C139" s="724"/>
      <c r="D139" s="724"/>
      <c r="E139" s="724"/>
      <c r="F139" s="724"/>
      <c r="G139" s="266"/>
      <c r="H139" s="266"/>
      <c r="I139" s="289"/>
      <c r="J139" s="289"/>
      <c r="K139" s="290"/>
    </row>
    <row r="140" spans="1:11" ht="15.75" x14ac:dyDescent="0.25">
      <c r="A140" s="288"/>
      <c r="B140" s="724"/>
      <c r="C140" s="724"/>
      <c r="D140" s="724"/>
      <c r="E140" s="724"/>
      <c r="F140" s="724"/>
      <c r="G140" s="266"/>
      <c r="H140" s="266"/>
      <c r="I140" s="289"/>
      <c r="J140" s="289"/>
      <c r="K140" s="290"/>
    </row>
    <row r="141" spans="1:11" ht="15.75" x14ac:dyDescent="0.25">
      <c r="A141" s="288"/>
      <c r="B141" s="724"/>
      <c r="C141" s="724"/>
      <c r="D141" s="724"/>
      <c r="E141" s="724"/>
      <c r="F141" s="724"/>
      <c r="G141" s="266"/>
      <c r="H141" s="266"/>
      <c r="I141" s="289"/>
      <c r="J141" s="289"/>
      <c r="K141" s="290"/>
    </row>
    <row r="142" spans="1:11" ht="15.75" x14ac:dyDescent="0.25">
      <c r="A142" s="288"/>
      <c r="B142" s="724"/>
      <c r="C142" s="724"/>
      <c r="D142" s="724"/>
      <c r="E142" s="724"/>
      <c r="F142" s="724"/>
      <c r="G142" s="266"/>
      <c r="H142" s="266"/>
      <c r="I142" s="289"/>
      <c r="J142" s="289"/>
      <c r="K142" s="290"/>
    </row>
    <row r="143" spans="1:11" ht="15.75" x14ac:dyDescent="0.25">
      <c r="A143" s="288"/>
      <c r="B143" s="724"/>
      <c r="C143" s="724"/>
      <c r="D143" s="724"/>
      <c r="E143" s="724"/>
      <c r="F143" s="724"/>
      <c r="G143" s="266"/>
      <c r="H143" s="266"/>
      <c r="I143" s="289"/>
      <c r="J143" s="289"/>
      <c r="K143" s="290"/>
    </row>
    <row r="144" spans="1:11" ht="15.75" x14ac:dyDescent="0.25">
      <c r="A144" s="288"/>
      <c r="B144" s="724"/>
      <c r="C144" s="724"/>
      <c r="D144" s="724"/>
      <c r="E144" s="724"/>
      <c r="F144" s="724"/>
      <c r="G144" s="266"/>
      <c r="H144" s="266"/>
      <c r="I144" s="289"/>
      <c r="J144" s="289"/>
      <c r="K144" s="290"/>
    </row>
    <row r="145" spans="1:11" ht="15.75" x14ac:dyDescent="0.25">
      <c r="A145" s="288"/>
      <c r="B145" s="724"/>
      <c r="C145" s="724"/>
      <c r="D145" s="724"/>
      <c r="E145" s="724"/>
      <c r="F145" s="724"/>
      <c r="G145" s="266"/>
      <c r="H145" s="266"/>
      <c r="I145" s="289"/>
      <c r="J145" s="289"/>
      <c r="K145" s="290"/>
    </row>
    <row r="146" spans="1:11" ht="15.75" x14ac:dyDescent="0.25">
      <c r="A146" s="288"/>
      <c r="B146" s="724"/>
      <c r="C146" s="724"/>
      <c r="D146" s="724"/>
      <c r="E146" s="724"/>
      <c r="F146" s="724"/>
      <c r="G146" s="266"/>
      <c r="H146" s="266"/>
      <c r="I146" s="289"/>
      <c r="J146" s="289"/>
      <c r="K146" s="290"/>
    </row>
    <row r="147" spans="1:11" ht="15.75" x14ac:dyDescent="0.25">
      <c r="A147" s="288"/>
      <c r="B147" s="724"/>
      <c r="C147" s="724"/>
      <c r="D147" s="724"/>
      <c r="E147" s="724"/>
      <c r="F147" s="724"/>
      <c r="G147" s="266"/>
      <c r="H147" s="266"/>
      <c r="I147" s="289"/>
      <c r="J147" s="289"/>
      <c r="K147" s="290"/>
    </row>
    <row r="148" spans="1:11" ht="15.75" x14ac:dyDescent="0.25">
      <c r="A148" s="288"/>
      <c r="B148" s="724"/>
      <c r="C148" s="724"/>
      <c r="D148" s="724"/>
      <c r="E148" s="724"/>
      <c r="F148" s="724"/>
      <c r="G148" s="266"/>
      <c r="H148" s="266"/>
      <c r="I148" s="289"/>
      <c r="J148" s="289"/>
      <c r="K148" s="290"/>
    </row>
    <row r="149" spans="1:11" ht="15.75" x14ac:dyDescent="0.25">
      <c r="A149" s="288"/>
      <c r="B149" s="724"/>
      <c r="C149" s="724"/>
      <c r="D149" s="724"/>
      <c r="E149" s="724"/>
      <c r="F149" s="724"/>
      <c r="G149" s="266"/>
      <c r="H149" s="266"/>
      <c r="I149" s="289"/>
      <c r="J149" s="289"/>
      <c r="K149" s="290"/>
    </row>
    <row r="150" spans="1:11" ht="15.75" x14ac:dyDescent="0.25">
      <c r="A150" s="288"/>
      <c r="B150" s="724"/>
      <c r="C150" s="724"/>
      <c r="D150" s="724"/>
      <c r="E150" s="724"/>
      <c r="F150" s="724"/>
      <c r="G150" s="266"/>
      <c r="H150" s="266"/>
      <c r="I150" s="289"/>
      <c r="J150" s="289"/>
      <c r="K150" s="290"/>
    </row>
    <row r="151" spans="1:11" ht="15.75" x14ac:dyDescent="0.25">
      <c r="A151" s="288"/>
      <c r="B151" s="724"/>
      <c r="C151" s="724"/>
      <c r="D151" s="724"/>
      <c r="E151" s="724"/>
      <c r="F151" s="724"/>
      <c r="G151" s="266"/>
      <c r="H151" s="266"/>
      <c r="I151" s="289"/>
      <c r="J151" s="289"/>
      <c r="K151" s="290"/>
    </row>
    <row r="152" spans="1:11" ht="15.75" x14ac:dyDescent="0.25">
      <c r="A152" s="288"/>
      <c r="B152" s="724"/>
      <c r="C152" s="724"/>
      <c r="D152" s="724"/>
      <c r="E152" s="724"/>
      <c r="F152" s="724"/>
      <c r="G152" s="266"/>
      <c r="H152" s="266"/>
      <c r="I152" s="289"/>
      <c r="J152" s="289"/>
      <c r="K152" s="290"/>
    </row>
    <row r="153" spans="1:11" ht="15.75" x14ac:dyDescent="0.25">
      <c r="A153" s="288"/>
      <c r="B153" s="724"/>
      <c r="C153" s="724"/>
      <c r="D153" s="724"/>
      <c r="E153" s="724"/>
      <c r="F153" s="724"/>
      <c r="G153" s="266"/>
      <c r="H153" s="266"/>
      <c r="I153" s="289"/>
      <c r="J153" s="289"/>
      <c r="K153" s="290"/>
    </row>
    <row r="154" spans="1:11" ht="15.75" x14ac:dyDescent="0.25">
      <c r="A154" s="288"/>
      <c r="B154" s="724"/>
      <c r="C154" s="724"/>
      <c r="D154" s="724"/>
      <c r="E154" s="724"/>
      <c r="F154" s="724"/>
      <c r="G154" s="266"/>
      <c r="H154" s="266"/>
      <c r="I154" s="289"/>
      <c r="J154" s="289"/>
      <c r="K154" s="290"/>
    </row>
    <row r="155" spans="1:11" ht="15.75" x14ac:dyDescent="0.25">
      <c r="A155" s="288"/>
      <c r="B155" s="724"/>
      <c r="C155" s="724"/>
      <c r="D155" s="724"/>
      <c r="E155" s="724"/>
      <c r="F155" s="724"/>
      <c r="G155" s="266"/>
      <c r="H155" s="266"/>
      <c r="I155" s="289"/>
      <c r="J155" s="289"/>
      <c r="K155" s="290"/>
    </row>
    <row r="156" spans="1:11" ht="15.75" x14ac:dyDescent="0.25">
      <c r="A156" s="288"/>
      <c r="B156" s="724"/>
      <c r="C156" s="724"/>
      <c r="D156" s="724"/>
      <c r="E156" s="724"/>
      <c r="F156" s="724"/>
      <c r="G156" s="266"/>
      <c r="H156" s="266"/>
      <c r="I156" s="289"/>
      <c r="J156" s="289"/>
      <c r="K156" s="290"/>
    </row>
    <row r="157" spans="1:11" ht="15.75" x14ac:dyDescent="0.25">
      <c r="A157" s="288"/>
      <c r="B157" s="724"/>
      <c r="C157" s="724"/>
      <c r="D157" s="724"/>
      <c r="E157" s="724"/>
      <c r="F157" s="724"/>
      <c r="G157" s="266"/>
      <c r="H157" s="266"/>
      <c r="I157" s="289"/>
      <c r="J157" s="289"/>
      <c r="K157" s="290"/>
    </row>
    <row r="158" spans="1:11" ht="15.75" x14ac:dyDescent="0.25">
      <c r="A158" s="288"/>
      <c r="B158" s="724"/>
      <c r="C158" s="724"/>
      <c r="D158" s="724"/>
      <c r="E158" s="724"/>
      <c r="F158" s="724"/>
      <c r="G158" s="266"/>
      <c r="H158" s="266"/>
      <c r="I158" s="289"/>
      <c r="J158" s="289"/>
      <c r="K158" s="290"/>
    </row>
    <row r="159" spans="1:11" ht="15.75" x14ac:dyDescent="0.25">
      <c r="A159" s="288"/>
      <c r="B159" s="724"/>
      <c r="C159" s="724"/>
      <c r="D159" s="724"/>
      <c r="E159" s="724"/>
      <c r="F159" s="724"/>
      <c r="G159" s="266"/>
      <c r="H159" s="266"/>
      <c r="I159" s="289"/>
      <c r="J159" s="289"/>
      <c r="K159" s="290"/>
    </row>
    <row r="160" spans="1:11" ht="15.75" x14ac:dyDescent="0.25">
      <c r="A160" s="288"/>
      <c r="B160" s="724"/>
      <c r="C160" s="724"/>
      <c r="D160" s="724"/>
      <c r="E160" s="724"/>
      <c r="F160" s="724"/>
      <c r="G160" s="266"/>
      <c r="H160" s="266"/>
      <c r="I160" s="289"/>
      <c r="J160" s="289"/>
      <c r="K160" s="290"/>
    </row>
    <row r="161" spans="1:11" ht="15.75" x14ac:dyDescent="0.25">
      <c r="A161" s="288"/>
      <c r="B161" s="724"/>
      <c r="C161" s="724"/>
      <c r="D161" s="724"/>
      <c r="E161" s="724"/>
      <c r="F161" s="724"/>
      <c r="G161" s="266"/>
      <c r="H161" s="266"/>
      <c r="I161" s="289"/>
      <c r="J161" s="289"/>
      <c r="K161" s="290"/>
    </row>
    <row r="162" spans="1:11" ht="15.75" x14ac:dyDescent="0.25">
      <c r="A162" s="288"/>
      <c r="B162" s="724"/>
      <c r="C162" s="724"/>
      <c r="D162" s="724"/>
      <c r="E162" s="724"/>
      <c r="F162" s="724"/>
      <c r="G162" s="266"/>
      <c r="H162" s="266"/>
      <c r="I162" s="289"/>
      <c r="J162" s="289"/>
      <c r="K162" s="290"/>
    </row>
    <row r="163" spans="1:11" ht="15.75" x14ac:dyDescent="0.25">
      <c r="A163" s="288"/>
      <c r="B163" s="724"/>
      <c r="C163" s="724"/>
      <c r="D163" s="724"/>
      <c r="E163" s="724"/>
      <c r="F163" s="724"/>
      <c r="G163" s="266"/>
      <c r="H163" s="266"/>
      <c r="I163" s="289"/>
      <c r="J163" s="289"/>
      <c r="K163" s="290"/>
    </row>
    <row r="164" spans="1:11" ht="15.75" x14ac:dyDescent="0.25">
      <c r="A164" s="288"/>
      <c r="B164" s="724"/>
      <c r="C164" s="724"/>
      <c r="D164" s="724"/>
      <c r="E164" s="724"/>
      <c r="F164" s="724"/>
      <c r="G164" s="266"/>
      <c r="H164" s="266"/>
      <c r="I164" s="289"/>
      <c r="J164" s="289"/>
      <c r="K164" s="290"/>
    </row>
    <row r="165" spans="1:11" ht="15.75" x14ac:dyDescent="0.25">
      <c r="A165" s="288"/>
      <c r="B165" s="724"/>
      <c r="C165" s="724"/>
      <c r="D165" s="724"/>
      <c r="E165" s="724"/>
      <c r="F165" s="724"/>
      <c r="G165" s="266"/>
      <c r="H165" s="266"/>
      <c r="I165" s="289"/>
      <c r="J165" s="289"/>
      <c r="K165" s="290"/>
    </row>
    <row r="166" spans="1:11" ht="15.75" x14ac:dyDescent="0.25">
      <c r="A166" s="288"/>
      <c r="B166" s="724"/>
      <c r="C166" s="724"/>
      <c r="D166" s="724"/>
      <c r="E166" s="724"/>
      <c r="F166" s="724"/>
      <c r="G166" s="266"/>
      <c r="H166" s="266"/>
      <c r="I166" s="289"/>
      <c r="J166" s="289"/>
      <c r="K166" s="290"/>
    </row>
    <row r="167" spans="1:11" ht="15.75" x14ac:dyDescent="0.25">
      <c r="A167" s="288"/>
      <c r="B167" s="724"/>
      <c r="C167" s="724"/>
      <c r="D167" s="724"/>
      <c r="E167" s="724"/>
      <c r="F167" s="724"/>
      <c r="G167" s="266"/>
      <c r="H167" s="266"/>
      <c r="I167" s="289"/>
      <c r="J167" s="289"/>
      <c r="K167" s="290"/>
    </row>
    <row r="168" spans="1:11" ht="15.75" x14ac:dyDescent="0.25">
      <c r="A168" s="288"/>
      <c r="B168" s="724"/>
      <c r="C168" s="724"/>
      <c r="D168" s="724"/>
      <c r="E168" s="724"/>
      <c r="F168" s="724"/>
      <c r="G168" s="266"/>
      <c r="H168" s="266"/>
      <c r="I168" s="289"/>
      <c r="J168" s="289"/>
      <c r="K168" s="290"/>
    </row>
    <row r="169" spans="1:11" ht="15.75" x14ac:dyDescent="0.25">
      <c r="A169" s="288"/>
      <c r="B169" s="724"/>
      <c r="C169" s="724"/>
      <c r="D169" s="724"/>
      <c r="E169" s="724"/>
      <c r="F169" s="724"/>
      <c r="G169" s="266"/>
      <c r="H169" s="266"/>
      <c r="I169" s="289"/>
      <c r="J169" s="289"/>
      <c r="K169" s="290"/>
    </row>
    <row r="170" spans="1:11" ht="15.75" x14ac:dyDescent="0.25">
      <c r="A170" s="288"/>
      <c r="B170" s="724"/>
      <c r="C170" s="724"/>
      <c r="D170" s="724"/>
      <c r="E170" s="724"/>
      <c r="F170" s="724"/>
      <c r="G170" s="266"/>
      <c r="H170" s="266"/>
      <c r="I170" s="289"/>
      <c r="J170" s="289"/>
      <c r="K170" s="290"/>
    </row>
    <row r="171" spans="1:11" ht="15.75" x14ac:dyDescent="0.25">
      <c r="A171" s="288"/>
      <c r="B171" s="724"/>
      <c r="C171" s="724"/>
      <c r="D171" s="724"/>
      <c r="E171" s="724"/>
      <c r="F171" s="724"/>
      <c r="G171" s="266"/>
      <c r="H171" s="266"/>
      <c r="I171" s="289"/>
      <c r="J171" s="289"/>
      <c r="K171" s="290"/>
    </row>
    <row r="172" spans="1:11" ht="15.75" x14ac:dyDescent="0.25">
      <c r="A172" s="288"/>
      <c r="B172" s="724"/>
      <c r="C172" s="724"/>
      <c r="D172" s="724"/>
      <c r="E172" s="724"/>
      <c r="F172" s="724"/>
      <c r="G172" s="266"/>
      <c r="H172" s="266"/>
      <c r="I172" s="289"/>
      <c r="J172" s="289"/>
      <c r="K172" s="290"/>
    </row>
    <row r="173" spans="1:11" ht="15.75" x14ac:dyDescent="0.25">
      <c r="A173" s="288"/>
      <c r="B173" s="724"/>
      <c r="C173" s="724"/>
      <c r="D173" s="724"/>
      <c r="E173" s="724"/>
      <c r="F173" s="724"/>
      <c r="G173" s="266"/>
      <c r="H173" s="266"/>
      <c r="I173" s="289"/>
      <c r="J173" s="289"/>
      <c r="K173" s="290"/>
    </row>
    <row r="174" spans="1:11" ht="15.75" x14ac:dyDescent="0.25">
      <c r="A174" s="288"/>
      <c r="B174" s="724"/>
      <c r="C174" s="724"/>
      <c r="D174" s="724"/>
      <c r="E174" s="724"/>
      <c r="F174" s="724"/>
      <c r="G174" s="266"/>
      <c r="H174" s="266"/>
      <c r="I174" s="289"/>
      <c r="J174" s="289"/>
      <c r="K174" s="290"/>
    </row>
    <row r="175" spans="1:11" ht="15.75" x14ac:dyDescent="0.25">
      <c r="A175" s="288"/>
      <c r="B175" s="724"/>
      <c r="C175" s="724"/>
      <c r="D175" s="724"/>
      <c r="E175" s="724"/>
      <c r="F175" s="724"/>
      <c r="G175" s="266"/>
      <c r="H175" s="266"/>
      <c r="I175" s="289"/>
      <c r="J175" s="289"/>
      <c r="K175" s="290"/>
    </row>
    <row r="176" spans="1:11" ht="15.75" x14ac:dyDescent="0.25">
      <c r="A176" s="288"/>
      <c r="B176" s="724"/>
      <c r="C176" s="724"/>
      <c r="D176" s="724"/>
      <c r="E176" s="724"/>
      <c r="F176" s="724"/>
      <c r="G176" s="266"/>
      <c r="H176" s="266"/>
      <c r="I176" s="289"/>
      <c r="J176" s="289"/>
      <c r="K176" s="290"/>
    </row>
    <row r="177" spans="1:11" ht="15.75" x14ac:dyDescent="0.25">
      <c r="A177" s="288"/>
      <c r="B177" s="724"/>
      <c r="C177" s="724"/>
      <c r="D177" s="724"/>
      <c r="E177" s="724"/>
      <c r="F177" s="724"/>
      <c r="G177" s="266"/>
      <c r="H177" s="266"/>
      <c r="I177" s="289"/>
      <c r="J177" s="289"/>
      <c r="K177" s="290"/>
    </row>
    <row r="178" spans="1:11" ht="15.75" x14ac:dyDescent="0.25">
      <c r="A178" s="288"/>
      <c r="B178" s="724"/>
      <c r="C178" s="724"/>
      <c r="D178" s="724"/>
      <c r="E178" s="724"/>
      <c r="F178" s="724"/>
      <c r="G178" s="266"/>
      <c r="H178" s="266"/>
      <c r="I178" s="289"/>
      <c r="J178" s="289"/>
      <c r="K178" s="290"/>
    </row>
    <row r="179" spans="1:11" ht="15.75" x14ac:dyDescent="0.25">
      <c r="A179" s="288"/>
      <c r="B179" s="724"/>
      <c r="C179" s="724"/>
      <c r="D179" s="724"/>
      <c r="E179" s="724"/>
      <c r="F179" s="724"/>
      <c r="G179" s="266"/>
      <c r="H179" s="266"/>
      <c r="I179" s="289"/>
      <c r="J179" s="289"/>
      <c r="K179" s="290"/>
    </row>
    <row r="180" spans="1:11" ht="15.75" x14ac:dyDescent="0.25">
      <c r="A180" s="288"/>
      <c r="B180" s="724"/>
      <c r="C180" s="724"/>
      <c r="D180" s="724"/>
      <c r="E180" s="724"/>
      <c r="F180" s="724"/>
      <c r="G180" s="266"/>
      <c r="H180" s="266"/>
      <c r="I180" s="289"/>
      <c r="J180" s="289"/>
      <c r="K180" s="290"/>
    </row>
    <row r="181" spans="1:11" ht="15.75" x14ac:dyDescent="0.25">
      <c r="A181" s="288"/>
      <c r="B181" s="724"/>
      <c r="C181" s="724"/>
      <c r="D181" s="724"/>
      <c r="E181" s="724"/>
      <c r="F181" s="724"/>
      <c r="G181" s="266"/>
      <c r="H181" s="267"/>
      <c r="I181" s="243"/>
      <c r="J181" s="243"/>
      <c r="K181" s="244"/>
    </row>
    <row r="182" spans="1:11" ht="15.75" x14ac:dyDescent="0.25">
      <c r="A182" s="288"/>
      <c r="B182" s="724"/>
      <c r="C182" s="724"/>
      <c r="D182" s="724"/>
      <c r="E182" s="724"/>
      <c r="F182" s="724"/>
      <c r="G182" s="266"/>
      <c r="H182" s="267"/>
      <c r="I182" s="243"/>
      <c r="J182" s="243"/>
      <c r="K182" s="244"/>
    </row>
    <row r="183" spans="1:11" ht="15.75" x14ac:dyDescent="0.25">
      <c r="A183" s="288"/>
      <c r="B183" s="760"/>
      <c r="C183" s="760"/>
      <c r="D183" s="760"/>
      <c r="E183" s="760"/>
      <c r="F183" s="760"/>
      <c r="G183" s="267"/>
      <c r="H183" s="267"/>
      <c r="I183" s="243"/>
      <c r="J183" s="243"/>
      <c r="K183" s="244"/>
    </row>
    <row r="184" spans="1:11" ht="15.75" x14ac:dyDescent="0.25">
      <c r="A184" s="288"/>
      <c r="B184" s="724"/>
      <c r="C184" s="724"/>
      <c r="D184" s="724"/>
      <c r="E184" s="724"/>
      <c r="F184" s="724"/>
      <c r="G184" s="266"/>
      <c r="H184" s="266"/>
      <c r="I184" s="725"/>
      <c r="J184" s="726"/>
      <c r="K184" s="727"/>
    </row>
    <row r="185" spans="1:11" ht="15.75" x14ac:dyDescent="0.25">
      <c r="A185" s="288"/>
      <c r="B185" s="724"/>
      <c r="C185" s="724"/>
      <c r="D185" s="724"/>
      <c r="E185" s="724"/>
      <c r="F185" s="724"/>
      <c r="G185" s="266"/>
      <c r="H185" s="266"/>
      <c r="I185" s="732"/>
      <c r="J185" s="733"/>
      <c r="K185" s="734"/>
    </row>
    <row r="186" spans="1:11" ht="15.75" x14ac:dyDescent="0.25">
      <c r="A186" s="288"/>
      <c r="B186" s="724"/>
      <c r="C186" s="724"/>
      <c r="D186" s="724"/>
      <c r="E186" s="724"/>
      <c r="F186" s="724"/>
      <c r="G186" s="266"/>
      <c r="H186" s="266"/>
      <c r="I186" s="725"/>
      <c r="J186" s="726"/>
      <c r="K186" s="727"/>
    </row>
    <row r="187" spans="1:11" ht="15.75" x14ac:dyDescent="0.25">
      <c r="A187" s="288"/>
      <c r="B187" s="724"/>
      <c r="C187" s="724"/>
      <c r="D187" s="724"/>
      <c r="E187" s="724"/>
      <c r="F187" s="724"/>
      <c r="G187" s="266"/>
      <c r="H187" s="266"/>
      <c r="I187" s="725"/>
      <c r="J187" s="726"/>
      <c r="K187" s="727"/>
    </row>
    <row r="188" spans="1:11" ht="15.75" x14ac:dyDescent="0.25">
      <c r="A188" s="288"/>
      <c r="B188" s="724"/>
      <c r="C188" s="724"/>
      <c r="D188" s="724"/>
      <c r="E188" s="724"/>
      <c r="F188" s="724"/>
      <c r="G188" s="266"/>
      <c r="H188" s="266"/>
      <c r="I188" s="725"/>
      <c r="J188" s="726"/>
      <c r="K188" s="727"/>
    </row>
    <row r="189" spans="1:11" ht="15.75" x14ac:dyDescent="0.25">
      <c r="A189" s="288"/>
      <c r="B189" s="724"/>
      <c r="C189" s="724"/>
      <c r="D189" s="724"/>
      <c r="E189" s="724"/>
      <c r="F189" s="724"/>
      <c r="G189" s="266"/>
      <c r="H189" s="266"/>
      <c r="I189" s="725"/>
      <c r="J189" s="726"/>
      <c r="K189" s="727"/>
    </row>
    <row r="190" spans="1:11" ht="15.75" x14ac:dyDescent="0.25">
      <c r="A190" s="288"/>
      <c r="B190" s="724"/>
      <c r="C190" s="724"/>
      <c r="D190" s="724"/>
      <c r="E190" s="724"/>
      <c r="F190" s="724"/>
      <c r="G190" s="266"/>
      <c r="H190" s="266"/>
      <c r="I190" s="725"/>
      <c r="J190" s="726"/>
      <c r="K190" s="727"/>
    </row>
    <row r="191" spans="1:11" ht="15.75" x14ac:dyDescent="0.25">
      <c r="A191" s="288"/>
      <c r="B191" s="724"/>
      <c r="C191" s="724"/>
      <c r="D191" s="724"/>
      <c r="E191" s="724"/>
      <c r="F191" s="724"/>
      <c r="G191" s="266"/>
      <c r="H191" s="266"/>
      <c r="I191" s="725"/>
      <c r="J191" s="726"/>
      <c r="K191" s="727"/>
    </row>
    <row r="192" spans="1:11" ht="15.75" x14ac:dyDescent="0.25">
      <c r="A192" s="288"/>
      <c r="B192" s="724"/>
      <c r="C192" s="724"/>
      <c r="D192" s="724"/>
      <c r="E192" s="724"/>
      <c r="F192" s="724"/>
      <c r="G192" s="266"/>
      <c r="H192" s="266"/>
      <c r="I192" s="725"/>
      <c r="J192" s="726"/>
      <c r="K192" s="726"/>
    </row>
    <row r="193" spans="1:11" ht="15.75" x14ac:dyDescent="0.25">
      <c r="A193" s="288"/>
      <c r="B193" s="724"/>
      <c r="C193" s="724"/>
      <c r="D193" s="724"/>
      <c r="E193" s="724"/>
      <c r="F193" s="724"/>
      <c r="G193" s="266"/>
      <c r="H193" s="266"/>
      <c r="I193" s="725"/>
      <c r="J193" s="726"/>
      <c r="K193" s="726"/>
    </row>
    <row r="194" spans="1:11" ht="15.75" x14ac:dyDescent="0.25">
      <c r="A194" s="288"/>
      <c r="B194" s="724"/>
      <c r="C194" s="724"/>
      <c r="D194" s="724"/>
      <c r="E194" s="724"/>
      <c r="F194" s="724"/>
      <c r="G194" s="266"/>
      <c r="H194" s="266"/>
      <c r="I194" s="254"/>
      <c r="J194" s="254"/>
      <c r="K194" s="254"/>
    </row>
    <row r="195" spans="1:11" ht="15.75" x14ac:dyDescent="0.25">
      <c r="A195" s="288"/>
      <c r="B195" s="724"/>
      <c r="C195" s="724"/>
      <c r="D195" s="724"/>
      <c r="E195" s="724"/>
      <c r="F195" s="724"/>
      <c r="G195" s="266"/>
      <c r="H195" s="266"/>
      <c r="I195" s="254"/>
      <c r="J195" s="254"/>
      <c r="K195" s="254"/>
    </row>
    <row r="196" spans="1:11" ht="15.75" x14ac:dyDescent="0.25">
      <c r="A196" s="288"/>
      <c r="B196" s="724"/>
      <c r="C196" s="724"/>
      <c r="D196" s="724"/>
      <c r="E196" s="724"/>
      <c r="F196" s="724"/>
      <c r="G196" s="266"/>
      <c r="H196" s="266"/>
      <c r="I196" s="254"/>
      <c r="J196" s="254"/>
      <c r="K196" s="254"/>
    </row>
    <row r="197" spans="1:11" ht="15.75" x14ac:dyDescent="0.25">
      <c r="A197" s="288"/>
      <c r="B197" s="724"/>
      <c r="C197" s="724"/>
      <c r="D197" s="724"/>
      <c r="E197" s="724"/>
      <c r="F197" s="724"/>
      <c r="G197" s="266"/>
      <c r="H197" s="266"/>
      <c r="I197" s="254"/>
      <c r="J197" s="254"/>
      <c r="K197" s="254"/>
    </row>
    <row r="198" spans="1:11" ht="15.75" x14ac:dyDescent="0.25">
      <c r="A198" s="288"/>
      <c r="B198" s="724"/>
      <c r="C198" s="724"/>
      <c r="D198" s="724"/>
      <c r="E198" s="724"/>
      <c r="F198" s="724"/>
      <c r="G198" s="266"/>
      <c r="H198" s="266"/>
      <c r="I198" s="254"/>
      <c r="J198" s="254"/>
      <c r="K198" s="254"/>
    </row>
    <row r="199" spans="1:11" ht="15.75" x14ac:dyDescent="0.25">
      <c r="A199" s="288"/>
      <c r="B199" s="724"/>
      <c r="C199" s="724"/>
      <c r="D199" s="724"/>
      <c r="E199" s="724"/>
      <c r="F199" s="724"/>
      <c r="G199" s="266"/>
      <c r="H199" s="266"/>
      <c r="I199" s="254"/>
      <c r="J199" s="254"/>
      <c r="K199" s="254"/>
    </row>
    <row r="200" spans="1:11" ht="15.75" x14ac:dyDescent="0.25">
      <c r="A200" s="288"/>
      <c r="B200" s="724"/>
      <c r="C200" s="724"/>
      <c r="D200" s="724"/>
      <c r="E200" s="724"/>
      <c r="F200" s="724"/>
      <c r="G200" s="266"/>
      <c r="H200" s="266"/>
      <c r="I200" s="254"/>
      <c r="J200" s="254"/>
      <c r="K200" s="254"/>
    </row>
    <row r="201" spans="1:11" ht="15.75" x14ac:dyDescent="0.25">
      <c r="A201" s="288"/>
      <c r="B201" s="724"/>
      <c r="C201" s="724"/>
      <c r="D201" s="724"/>
      <c r="E201" s="724"/>
      <c r="F201" s="724"/>
      <c r="G201" s="266"/>
      <c r="H201" s="266"/>
      <c r="I201" s="254"/>
      <c r="J201" s="254"/>
      <c r="K201" s="254"/>
    </row>
    <row r="202" spans="1:11" ht="15.75" x14ac:dyDescent="0.25">
      <c r="A202" s="288"/>
      <c r="B202" s="724"/>
      <c r="C202" s="724"/>
      <c r="D202" s="724"/>
      <c r="E202" s="724"/>
      <c r="F202" s="724"/>
      <c r="G202" s="266"/>
      <c r="H202" s="266"/>
      <c r="I202" s="254"/>
      <c r="J202" s="254"/>
      <c r="K202" s="254"/>
    </row>
    <row r="203" spans="1:11" ht="15.75" x14ac:dyDescent="0.25">
      <c r="A203" s="288"/>
      <c r="B203" s="724"/>
      <c r="C203" s="724"/>
      <c r="D203" s="724"/>
      <c r="E203" s="724"/>
      <c r="F203" s="724"/>
      <c r="G203" s="266"/>
      <c r="H203" s="266"/>
      <c r="I203" s="254"/>
      <c r="J203" s="254"/>
      <c r="K203" s="254"/>
    </row>
    <row r="204" spans="1:11" ht="15.75" x14ac:dyDescent="0.25">
      <c r="A204" s="288"/>
      <c r="B204" s="724"/>
      <c r="C204" s="724"/>
      <c r="D204" s="724"/>
      <c r="E204" s="724"/>
      <c r="F204" s="724"/>
      <c r="G204" s="266"/>
      <c r="H204" s="266"/>
      <c r="I204" s="725"/>
      <c r="J204" s="726"/>
      <c r="K204" s="727"/>
    </row>
    <row r="205" spans="1:11" ht="15.75" x14ac:dyDescent="0.25">
      <c r="A205" s="288"/>
      <c r="B205" s="724"/>
      <c r="C205" s="724"/>
      <c r="D205" s="724"/>
      <c r="E205" s="724"/>
      <c r="F205" s="724"/>
      <c r="G205" s="266"/>
      <c r="H205" s="266"/>
      <c r="I205" s="725"/>
      <c r="J205" s="726"/>
      <c r="K205" s="727"/>
    </row>
    <row r="206" spans="1:11" ht="15.75" x14ac:dyDescent="0.25">
      <c r="A206" s="288"/>
      <c r="B206" s="724"/>
      <c r="C206" s="724"/>
      <c r="D206" s="724"/>
      <c r="E206" s="724"/>
      <c r="F206" s="724"/>
      <c r="G206" s="266"/>
      <c r="H206" s="266"/>
      <c r="I206" s="725"/>
      <c r="J206" s="726"/>
      <c r="K206" s="727"/>
    </row>
    <row r="207" spans="1:11" ht="15.75" x14ac:dyDescent="0.25">
      <c r="A207" s="288"/>
      <c r="B207" s="724"/>
      <c r="C207" s="724"/>
      <c r="D207" s="724"/>
      <c r="E207" s="724"/>
      <c r="F207" s="724"/>
      <c r="G207" s="266"/>
      <c r="H207" s="266"/>
      <c r="I207" s="725"/>
      <c r="J207" s="726"/>
      <c r="K207" s="727"/>
    </row>
    <row r="208" spans="1:11" ht="15.75" x14ac:dyDescent="0.25">
      <c r="A208" s="288"/>
      <c r="B208" s="724"/>
      <c r="C208" s="724"/>
      <c r="D208" s="724"/>
      <c r="E208" s="724"/>
      <c r="F208" s="724"/>
      <c r="G208" s="266"/>
      <c r="H208" s="266"/>
      <c r="I208" s="725"/>
      <c r="J208" s="726"/>
      <c r="K208" s="727"/>
    </row>
    <row r="209" spans="1:11" ht="15.75" x14ac:dyDescent="0.25">
      <c r="A209" s="288"/>
      <c r="B209" s="724"/>
      <c r="C209" s="724"/>
      <c r="D209" s="724"/>
      <c r="E209" s="724"/>
      <c r="F209" s="724"/>
      <c r="G209" s="266"/>
      <c r="H209" s="266"/>
      <c r="I209" s="725"/>
      <c r="J209" s="726"/>
      <c r="K209" s="727"/>
    </row>
    <row r="210" spans="1:11" ht="15.75" x14ac:dyDescent="0.25">
      <c r="A210" s="288"/>
      <c r="B210" s="728"/>
      <c r="C210" s="729"/>
      <c r="D210" s="729"/>
      <c r="E210" s="729"/>
      <c r="F210" s="730"/>
      <c r="G210" s="266"/>
      <c r="H210" s="266"/>
      <c r="I210" s="725"/>
      <c r="J210" s="726"/>
      <c r="K210" s="727"/>
    </row>
    <row r="211" spans="1:11" ht="15.75" x14ac:dyDescent="0.25">
      <c r="A211" s="288"/>
      <c r="B211" s="291"/>
      <c r="C211" s="261"/>
      <c r="D211" s="262"/>
      <c r="E211" s="262"/>
      <c r="F211" s="263"/>
      <c r="G211" s="266"/>
      <c r="H211" s="266"/>
      <c r="I211" s="725"/>
      <c r="J211" s="726"/>
      <c r="K211" s="727"/>
    </row>
    <row r="212" spans="1:11" ht="15.75" x14ac:dyDescent="0.25">
      <c r="A212" s="288"/>
      <c r="B212" s="724"/>
      <c r="C212" s="724"/>
      <c r="D212" s="724"/>
      <c r="E212" s="724"/>
      <c r="F212" s="724"/>
      <c r="G212" s="266"/>
      <c r="H212" s="266"/>
      <c r="I212" s="725"/>
      <c r="J212" s="726"/>
      <c r="K212" s="727"/>
    </row>
    <row r="213" spans="1:11" ht="15.75" x14ac:dyDescent="0.25">
      <c r="A213" s="288"/>
      <c r="B213" s="724"/>
      <c r="C213" s="724"/>
      <c r="D213" s="724"/>
      <c r="E213" s="724"/>
      <c r="F213" s="724"/>
      <c r="G213" s="266"/>
      <c r="H213" s="266"/>
      <c r="I213" s="725"/>
      <c r="J213" s="726"/>
      <c r="K213" s="727"/>
    </row>
    <row r="214" spans="1:11" ht="15.75" x14ac:dyDescent="0.25">
      <c r="A214" s="288"/>
      <c r="B214" s="724"/>
      <c r="C214" s="724"/>
      <c r="D214" s="724"/>
      <c r="E214" s="724"/>
      <c r="F214" s="724"/>
      <c r="G214" s="266"/>
      <c r="H214" s="266"/>
      <c r="I214" s="725"/>
      <c r="J214" s="726"/>
      <c r="K214" s="727"/>
    </row>
    <row r="215" spans="1:11" ht="15.75" x14ac:dyDescent="0.25">
      <c r="A215" s="288"/>
      <c r="B215" s="724"/>
      <c r="C215" s="724"/>
      <c r="D215" s="724"/>
      <c r="E215" s="724"/>
      <c r="F215" s="724"/>
      <c r="G215" s="266"/>
      <c r="H215" s="266"/>
      <c r="I215" s="725"/>
      <c r="J215" s="726"/>
      <c r="K215" s="727"/>
    </row>
    <row r="216" spans="1:11" ht="15.75" x14ac:dyDescent="0.25">
      <c r="A216" s="288"/>
      <c r="B216" s="724"/>
      <c r="C216" s="724"/>
      <c r="D216" s="724"/>
      <c r="E216" s="724"/>
      <c r="F216" s="724"/>
      <c r="G216" s="266"/>
      <c r="H216" s="266"/>
      <c r="I216" s="725"/>
      <c r="J216" s="726"/>
      <c r="K216" s="727"/>
    </row>
    <row r="217" spans="1:11" ht="15.75" x14ac:dyDescent="0.25">
      <c r="A217" s="288"/>
      <c r="B217" s="724"/>
      <c r="C217" s="724"/>
      <c r="D217" s="724"/>
      <c r="E217" s="724"/>
      <c r="F217" s="724"/>
      <c r="G217" s="266"/>
      <c r="H217" s="266"/>
      <c r="I217" s="725"/>
      <c r="J217" s="726"/>
      <c r="K217" s="727"/>
    </row>
    <row r="218" spans="1:11" ht="15.75" x14ac:dyDescent="0.25">
      <c r="A218" s="288"/>
      <c r="B218" s="724"/>
      <c r="C218" s="724"/>
      <c r="D218" s="724"/>
      <c r="E218" s="724"/>
      <c r="F218" s="724"/>
      <c r="G218" s="266"/>
      <c r="H218" s="266"/>
      <c r="I218" s="725"/>
      <c r="J218" s="726"/>
      <c r="K218" s="727"/>
    </row>
    <row r="219" spans="1:11" ht="15.75" x14ac:dyDescent="0.25">
      <c r="A219" s="288"/>
      <c r="B219" s="724"/>
      <c r="C219" s="724"/>
      <c r="D219" s="724"/>
      <c r="E219" s="724"/>
      <c r="F219" s="724"/>
      <c r="G219" s="266"/>
      <c r="H219" s="266"/>
      <c r="I219" s="725"/>
      <c r="J219" s="726"/>
      <c r="K219" s="727"/>
    </row>
    <row r="220" spans="1:11" ht="15.75" x14ac:dyDescent="0.25">
      <c r="A220" s="288"/>
      <c r="B220" s="724"/>
      <c r="C220" s="724"/>
      <c r="D220" s="724"/>
      <c r="E220" s="724"/>
      <c r="F220" s="724"/>
      <c r="G220" s="266"/>
      <c r="H220" s="266"/>
      <c r="I220" s="725"/>
      <c r="J220" s="726"/>
      <c r="K220" s="727"/>
    </row>
    <row r="221" spans="1:11" ht="15.75" x14ac:dyDescent="0.25">
      <c r="A221" s="288"/>
      <c r="B221" s="724"/>
      <c r="C221" s="724"/>
      <c r="D221" s="724"/>
      <c r="E221" s="724"/>
      <c r="F221" s="724"/>
      <c r="G221" s="266"/>
      <c r="H221" s="266"/>
      <c r="I221" s="725"/>
      <c r="J221" s="726"/>
      <c r="K221" s="727"/>
    </row>
    <row r="222" spans="1:11" ht="15.75" x14ac:dyDescent="0.25">
      <c r="A222" s="288"/>
      <c r="B222" s="724"/>
      <c r="C222" s="724"/>
      <c r="D222" s="724"/>
      <c r="E222" s="724"/>
      <c r="F222" s="724"/>
      <c r="G222" s="266"/>
      <c r="H222" s="266"/>
      <c r="I222" s="725"/>
      <c r="J222" s="726"/>
      <c r="K222" s="727"/>
    </row>
    <row r="223" spans="1:11" ht="15.75" x14ac:dyDescent="0.25">
      <c r="A223" s="288"/>
      <c r="B223" s="724"/>
      <c r="C223" s="724"/>
      <c r="D223" s="724"/>
      <c r="E223" s="724"/>
      <c r="F223" s="724"/>
      <c r="G223" s="266"/>
      <c r="H223" s="266"/>
      <c r="I223" s="725"/>
      <c r="J223" s="726"/>
      <c r="K223" s="727"/>
    </row>
    <row r="224" spans="1:11" ht="15.75" x14ac:dyDescent="0.25">
      <c r="A224" s="288"/>
      <c r="B224" s="724"/>
      <c r="C224" s="724"/>
      <c r="D224" s="724"/>
      <c r="E224" s="724"/>
      <c r="F224" s="724"/>
      <c r="G224" s="266"/>
      <c r="H224" s="266"/>
      <c r="I224" s="731"/>
      <c r="J224" s="731"/>
      <c r="K224" s="731"/>
    </row>
    <row r="225" spans="1:11" ht="15.75" x14ac:dyDescent="0.25">
      <c r="A225" s="288"/>
      <c r="B225" s="728"/>
      <c r="C225" s="729"/>
      <c r="D225" s="729"/>
      <c r="E225" s="729"/>
      <c r="F225" s="730"/>
      <c r="G225" s="266"/>
      <c r="H225" s="266"/>
      <c r="I225" s="731"/>
      <c r="J225" s="731"/>
      <c r="K225" s="731"/>
    </row>
    <row r="226" spans="1:11" ht="15.75" x14ac:dyDescent="0.25">
      <c r="A226" s="288"/>
      <c r="B226" s="728"/>
      <c r="C226" s="729"/>
      <c r="D226" s="729"/>
      <c r="E226" s="729"/>
      <c r="F226" s="730"/>
      <c r="G226" s="266"/>
      <c r="H226" s="266"/>
      <c r="I226" s="731"/>
      <c r="J226" s="731"/>
      <c r="K226" s="731"/>
    </row>
  </sheetData>
  <mergeCells count="233">
    <mergeCell ref="B201:F201"/>
    <mergeCell ref="B202:F202"/>
    <mergeCell ref="B203:F203"/>
    <mergeCell ref="B204:F204"/>
    <mergeCell ref="B205:F205"/>
    <mergeCell ref="B206:F206"/>
    <mergeCell ref="B207:F207"/>
    <mergeCell ref="B180:F180"/>
    <mergeCell ref="B181:F181"/>
    <mergeCell ref="B182:F182"/>
    <mergeCell ref="B183:F183"/>
    <mergeCell ref="B194:F194"/>
    <mergeCell ref="B195:F195"/>
    <mergeCell ref="B196:F196"/>
    <mergeCell ref="B197:F197"/>
    <mergeCell ref="B198:F198"/>
    <mergeCell ref="B199:F199"/>
    <mergeCell ref="B200:F200"/>
    <mergeCell ref="B188:F188"/>
    <mergeCell ref="B189:F189"/>
    <mergeCell ref="B190:F190"/>
    <mergeCell ref="B191:F191"/>
    <mergeCell ref="B192:F192"/>
    <mergeCell ref="B193:F193"/>
    <mergeCell ref="B176:F176"/>
    <mergeCell ref="B177:F177"/>
    <mergeCell ref="B178:F178"/>
    <mergeCell ref="B179:F179"/>
    <mergeCell ref="B170:F170"/>
    <mergeCell ref="B171:F171"/>
    <mergeCell ref="B172:F172"/>
    <mergeCell ref="B173:F173"/>
    <mergeCell ref="B174:F174"/>
    <mergeCell ref="B167:F167"/>
    <mergeCell ref="B168:F168"/>
    <mergeCell ref="B169:F169"/>
    <mergeCell ref="B160:F160"/>
    <mergeCell ref="B161:F161"/>
    <mergeCell ref="B162:F162"/>
    <mergeCell ref="B163:F163"/>
    <mergeCell ref="B164:F164"/>
    <mergeCell ref="B175:F175"/>
    <mergeCell ref="B158:F158"/>
    <mergeCell ref="B159:F159"/>
    <mergeCell ref="B150:F150"/>
    <mergeCell ref="B151:F151"/>
    <mergeCell ref="B152:F152"/>
    <mergeCell ref="B153:F153"/>
    <mergeCell ref="B154:F154"/>
    <mergeCell ref="B165:F165"/>
    <mergeCell ref="B166:F166"/>
    <mergeCell ref="B65:F65"/>
    <mergeCell ref="B66:F66"/>
    <mergeCell ref="B67:F67"/>
    <mergeCell ref="B142:F142"/>
    <mergeCell ref="B143:F143"/>
    <mergeCell ref="B144:F144"/>
    <mergeCell ref="B155:F155"/>
    <mergeCell ref="B156:F156"/>
    <mergeCell ref="B157:F157"/>
    <mergeCell ref="B68:F68"/>
    <mergeCell ref="B69:F69"/>
    <mergeCell ref="B70:F70"/>
    <mergeCell ref="B71:F71"/>
    <mergeCell ref="B72:F72"/>
    <mergeCell ref="B73:F73"/>
    <mergeCell ref="B74:F74"/>
    <mergeCell ref="B75:F75"/>
    <mergeCell ref="B76:F76"/>
    <mergeCell ref="B77:F77"/>
    <mergeCell ref="B78:F78"/>
    <mergeCell ref="B79:F79"/>
    <mergeCell ref="B80:F80"/>
    <mergeCell ref="B81:F81"/>
    <mergeCell ref="B82:F82"/>
    <mergeCell ref="B57:F57"/>
    <mergeCell ref="I57:K57"/>
    <mergeCell ref="B58:F58"/>
    <mergeCell ref="B59:F59"/>
    <mergeCell ref="B60:F60"/>
    <mergeCell ref="B61:F61"/>
    <mergeCell ref="B62:F62"/>
    <mergeCell ref="B63:F63"/>
    <mergeCell ref="B64:F64"/>
    <mergeCell ref="I58:K58"/>
    <mergeCell ref="I59:K59"/>
    <mergeCell ref="I60:K60"/>
    <mergeCell ref="B51:F51"/>
    <mergeCell ref="B52:F52"/>
    <mergeCell ref="I52:K52"/>
    <mergeCell ref="B53:F53"/>
    <mergeCell ref="B54:F54"/>
    <mergeCell ref="I54:K54"/>
    <mergeCell ref="B55:F55"/>
    <mergeCell ref="I55:K55"/>
    <mergeCell ref="B56:F56"/>
    <mergeCell ref="I56:K56"/>
    <mergeCell ref="B1:F1"/>
    <mergeCell ref="I1:K1"/>
    <mergeCell ref="B2:F2"/>
    <mergeCell ref="I2:K2"/>
    <mergeCell ref="B50:F50"/>
    <mergeCell ref="I6:K6"/>
    <mergeCell ref="I7:K7"/>
    <mergeCell ref="I8:K8"/>
    <mergeCell ref="I9:K9"/>
    <mergeCell ref="I14:K14"/>
    <mergeCell ref="I15:K15"/>
    <mergeCell ref="I10:K10"/>
    <mergeCell ref="I11:K11"/>
    <mergeCell ref="I12:K12"/>
    <mergeCell ref="I13:K13"/>
    <mergeCell ref="B83:F83"/>
    <mergeCell ref="B84:F84"/>
    <mergeCell ref="B85:F85"/>
    <mergeCell ref="B86:F86"/>
    <mergeCell ref="B87:F87"/>
    <mergeCell ref="B88:F88"/>
    <mergeCell ref="B89:F89"/>
    <mergeCell ref="B90:F90"/>
    <mergeCell ref="B91:F91"/>
    <mergeCell ref="B139:F139"/>
    <mergeCell ref="B92:F92"/>
    <mergeCell ref="B93:F93"/>
    <mergeCell ref="B94:F94"/>
    <mergeCell ref="B95:F95"/>
    <mergeCell ref="B96:F96"/>
    <mergeCell ref="B97:F97"/>
    <mergeCell ref="B98:F98"/>
    <mergeCell ref="B99:F99"/>
    <mergeCell ref="B100:F100"/>
    <mergeCell ref="B131:F131"/>
    <mergeCell ref="B132:F132"/>
    <mergeCell ref="B133:F133"/>
    <mergeCell ref="B134:F134"/>
    <mergeCell ref="B101:F101"/>
    <mergeCell ref="B102:F102"/>
    <mergeCell ref="B103:F103"/>
    <mergeCell ref="B184:F184"/>
    <mergeCell ref="B148:F148"/>
    <mergeCell ref="B149:F149"/>
    <mergeCell ref="B140:F140"/>
    <mergeCell ref="B141:F141"/>
    <mergeCell ref="B104:F104"/>
    <mergeCell ref="B105:F105"/>
    <mergeCell ref="B106:F106"/>
    <mergeCell ref="B107:F107"/>
    <mergeCell ref="B108:F108"/>
    <mergeCell ref="B113:F113"/>
    <mergeCell ref="B114:F114"/>
    <mergeCell ref="B109:F109"/>
    <mergeCell ref="B110:F110"/>
    <mergeCell ref="B111:F111"/>
    <mergeCell ref="B112:F112"/>
    <mergeCell ref="B125:F125"/>
    <mergeCell ref="B126:F126"/>
    <mergeCell ref="B127:F127"/>
    <mergeCell ref="B128:F128"/>
    <mergeCell ref="B129:F129"/>
    <mergeCell ref="B120:F120"/>
    <mergeCell ref="B122:F122"/>
    <mergeCell ref="B123:F123"/>
    <mergeCell ref="I184:K184"/>
    <mergeCell ref="B185:F185"/>
    <mergeCell ref="I185:K185"/>
    <mergeCell ref="B186:F186"/>
    <mergeCell ref="I186:K186"/>
    <mergeCell ref="B187:F187"/>
    <mergeCell ref="I187:K187"/>
    <mergeCell ref="I115:K115"/>
    <mergeCell ref="I116:K116"/>
    <mergeCell ref="B145:F145"/>
    <mergeCell ref="B146:F146"/>
    <mergeCell ref="B147:F147"/>
    <mergeCell ref="B115:F115"/>
    <mergeCell ref="B116:F116"/>
    <mergeCell ref="B117:F117"/>
    <mergeCell ref="B118:F118"/>
    <mergeCell ref="B119:F119"/>
    <mergeCell ref="B135:F135"/>
    <mergeCell ref="B136:F136"/>
    <mergeCell ref="B137:F137"/>
    <mergeCell ref="B138:F138"/>
    <mergeCell ref="B124:F124"/>
    <mergeCell ref="B121:F121"/>
    <mergeCell ref="B130:F130"/>
    <mergeCell ref="I191:K191"/>
    <mergeCell ref="I192:K192"/>
    <mergeCell ref="I193:K193"/>
    <mergeCell ref="I204:K204"/>
    <mergeCell ref="I188:K188"/>
    <mergeCell ref="I205:K205"/>
    <mergeCell ref="I206:K206"/>
    <mergeCell ref="I189:K189"/>
    <mergeCell ref="I190:K190"/>
    <mergeCell ref="I207:K207"/>
    <mergeCell ref="B208:F208"/>
    <mergeCell ref="I208:K208"/>
    <mergeCell ref="B209:F209"/>
    <mergeCell ref="I209:K209"/>
    <mergeCell ref="B210:F210"/>
    <mergeCell ref="I210:K210"/>
    <mergeCell ref="I211:K211"/>
    <mergeCell ref="B212:F212"/>
    <mergeCell ref="I212:K212"/>
    <mergeCell ref="B213:F213"/>
    <mergeCell ref="I213:K213"/>
    <mergeCell ref="B214:F214"/>
    <mergeCell ref="I214:K214"/>
    <mergeCell ref="B215:F215"/>
    <mergeCell ref="I215:K215"/>
    <mergeCell ref="B216:F216"/>
    <mergeCell ref="I216:K216"/>
    <mergeCell ref="B217:F217"/>
    <mergeCell ref="I217:K217"/>
    <mergeCell ref="B218:F218"/>
    <mergeCell ref="I218:K218"/>
    <mergeCell ref="B219:F219"/>
    <mergeCell ref="I219:K219"/>
    <mergeCell ref="B220:F220"/>
    <mergeCell ref="I220:K220"/>
    <mergeCell ref="B226:F226"/>
    <mergeCell ref="I226:K226"/>
    <mergeCell ref="B221:F221"/>
    <mergeCell ref="I221:K221"/>
    <mergeCell ref="B222:F222"/>
    <mergeCell ref="I222:K222"/>
    <mergeCell ref="B223:F223"/>
    <mergeCell ref="I223:K223"/>
    <mergeCell ref="B224:F224"/>
    <mergeCell ref="I224:K224"/>
    <mergeCell ref="B225:F225"/>
    <mergeCell ref="I225:K22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E420"/>
  <sheetViews>
    <sheetView workbookViewId="0">
      <selection activeCell="D1" sqref="D1:E1"/>
    </sheetView>
  </sheetViews>
  <sheetFormatPr defaultColWidth="8.875" defaultRowHeight="15" x14ac:dyDescent="0.25"/>
  <cols>
    <col min="1" max="1" width="37.25" style="2" customWidth="1"/>
    <col min="2" max="2" width="30.75" style="2" customWidth="1"/>
    <col min="3" max="3" width="38" style="2" customWidth="1"/>
    <col min="4" max="4" width="15.125" style="2" customWidth="1"/>
    <col min="5" max="5" width="26.75" style="2" customWidth="1"/>
    <col min="6" max="16384" width="8.875" style="2"/>
  </cols>
  <sheetData>
    <row r="1" spans="1:5" ht="166.5" customHeight="1" x14ac:dyDescent="0.25">
      <c r="D1" s="761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21.10. 2022 № 73-ОС "О внесении изменений в приказ от 23.12.2021 № 93-ос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761"/>
    </row>
    <row r="3" spans="1:5" x14ac:dyDescent="0.25">
      <c r="A3" s="762" t="s">
        <v>126</v>
      </c>
      <c r="B3" s="762"/>
      <c r="C3" s="762"/>
      <c r="D3" s="762"/>
      <c r="E3" s="762"/>
    </row>
    <row r="4" spans="1:5" ht="13.5" customHeight="1" x14ac:dyDescent="0.25">
      <c r="A4" s="763" t="s">
        <v>150</v>
      </c>
      <c r="B4" s="763"/>
      <c r="C4" s="763"/>
      <c r="D4" s="763"/>
      <c r="E4" s="763"/>
    </row>
    <row r="5" spans="1:5" ht="60" x14ac:dyDescent="0.25">
      <c r="A5" s="127" t="s">
        <v>127</v>
      </c>
      <c r="B5" s="66" t="s">
        <v>128</v>
      </c>
      <c r="C5" s="127" t="s">
        <v>129</v>
      </c>
      <c r="D5" s="127" t="s">
        <v>130</v>
      </c>
      <c r="E5" s="127" t="s">
        <v>131</v>
      </c>
    </row>
    <row r="6" spans="1:5" x14ac:dyDescent="0.25">
      <c r="A6" s="128">
        <v>1</v>
      </c>
      <c r="B6" s="128">
        <v>2</v>
      </c>
      <c r="C6" s="128">
        <v>3</v>
      </c>
      <c r="D6" s="128">
        <v>4</v>
      </c>
      <c r="E6" s="128">
        <v>5</v>
      </c>
    </row>
    <row r="7" spans="1:5" ht="37.15" customHeight="1" x14ac:dyDescent="0.25">
      <c r="A7" s="771" t="s">
        <v>152</v>
      </c>
      <c r="B7" s="770" t="s">
        <v>153</v>
      </c>
      <c r="C7" s="764" t="s">
        <v>132</v>
      </c>
      <c r="D7" s="765"/>
      <c r="E7" s="766"/>
    </row>
    <row r="8" spans="1:5" ht="14.45" customHeight="1" x14ac:dyDescent="0.25">
      <c r="A8" s="772"/>
      <c r="B8" s="770"/>
      <c r="C8" s="767" t="s">
        <v>133</v>
      </c>
      <c r="D8" s="768"/>
      <c r="E8" s="769"/>
    </row>
    <row r="9" spans="1:5" ht="12" customHeight="1" x14ac:dyDescent="0.25">
      <c r="A9" s="772"/>
      <c r="B9" s="770"/>
      <c r="C9" s="106" t="s">
        <v>140</v>
      </c>
      <c r="D9" s="129" t="s">
        <v>134</v>
      </c>
      <c r="E9" s="225">
        <f>'патриотика0,3664'!D25</f>
        <v>2.0518399999999999</v>
      </c>
    </row>
    <row r="10" spans="1:5" ht="12" customHeight="1" x14ac:dyDescent="0.25">
      <c r="A10" s="772"/>
      <c r="B10" s="770"/>
      <c r="C10" s="106" t="s">
        <v>93</v>
      </c>
      <c r="D10" s="130" t="s">
        <v>134</v>
      </c>
      <c r="E10" s="225">
        <f>'патриотика0,3664'!D24</f>
        <v>0.3664</v>
      </c>
    </row>
    <row r="11" spans="1:5" ht="12" customHeight="1" x14ac:dyDescent="0.25">
      <c r="A11" s="772"/>
      <c r="B11" s="770"/>
      <c r="C11" s="785" t="s">
        <v>144</v>
      </c>
      <c r="D11" s="786"/>
      <c r="E11" s="787"/>
    </row>
    <row r="12" spans="1:5" ht="40.15" customHeight="1" x14ac:dyDescent="0.25">
      <c r="A12" s="772"/>
      <c r="B12" s="770"/>
      <c r="C12" s="117" t="s">
        <v>308</v>
      </c>
      <c r="D12" s="98" t="s">
        <v>39</v>
      </c>
      <c r="E12" s="224">
        <f>'патриотика0,3664'!E46</f>
        <v>0.3664</v>
      </c>
    </row>
    <row r="13" spans="1:5" ht="25.5" customHeight="1" x14ac:dyDescent="0.25">
      <c r="A13" s="772"/>
      <c r="B13" s="770"/>
      <c r="C13" s="117" t="s">
        <v>309</v>
      </c>
      <c r="D13" s="98" t="s">
        <v>39</v>
      </c>
      <c r="E13" s="224">
        <f>'патриотика0,3664'!E47</f>
        <v>0.3664</v>
      </c>
    </row>
    <row r="14" spans="1:5" ht="22.9" customHeight="1" x14ac:dyDescent="0.25">
      <c r="A14" s="772"/>
      <c r="B14" s="770"/>
      <c r="C14" s="117" t="s">
        <v>310</v>
      </c>
      <c r="D14" s="98" t="s">
        <v>39</v>
      </c>
      <c r="E14" s="224">
        <f>'патриотика0,3664'!E48</f>
        <v>0.3664</v>
      </c>
    </row>
    <row r="15" spans="1:5" ht="27" customHeight="1" x14ac:dyDescent="0.25">
      <c r="A15" s="772"/>
      <c r="B15" s="770"/>
      <c r="C15" s="791" t="s">
        <v>145</v>
      </c>
      <c r="D15" s="792"/>
      <c r="E15" s="793"/>
    </row>
    <row r="16" spans="1:5" ht="27" customHeight="1" x14ac:dyDescent="0.25">
      <c r="A16" s="772"/>
      <c r="B16" s="770"/>
      <c r="C16" s="500" t="str">
        <f>'патриотика0,3664'!A56</f>
        <v>Участие подростков, участников ВПК, в сдаче на право ношения спецжетона КРОО «Ветераны Спецназа» г. Красноярск</v>
      </c>
      <c r="D16" s="498" t="s">
        <v>84</v>
      </c>
      <c r="E16" s="592">
        <f>'патриотика0,3664'!E56</f>
        <v>0</v>
      </c>
    </row>
    <row r="17" spans="1:5" ht="27" customHeight="1" x14ac:dyDescent="0.25">
      <c r="A17" s="772"/>
      <c r="B17" s="770"/>
      <c r="C17" s="500" t="str">
        <f>'патриотика0,3664'!A57</f>
        <v>Проезд детей</v>
      </c>
      <c r="D17" s="498" t="s">
        <v>84</v>
      </c>
      <c r="E17" s="592">
        <f>'патриотика0,3664'!E57</f>
        <v>2</v>
      </c>
    </row>
    <row r="18" spans="1:5" ht="27" customHeight="1" x14ac:dyDescent="0.25">
      <c r="A18" s="772"/>
      <c r="B18" s="770"/>
      <c r="C18" s="500" t="str">
        <f>'патриотика0,3664'!A58</f>
        <v xml:space="preserve">Проживание детей  </v>
      </c>
      <c r="D18" s="498" t="s">
        <v>84</v>
      </c>
      <c r="E18" s="592">
        <f>'патриотика0,3664'!E58</f>
        <v>3</v>
      </c>
    </row>
    <row r="19" spans="1:5" ht="27" customHeight="1" x14ac:dyDescent="0.25">
      <c r="A19" s="772"/>
      <c r="B19" s="770"/>
      <c r="C19" s="500" t="str">
        <f>'патриотика0,3664'!A59</f>
        <v xml:space="preserve">Суточные детей </v>
      </c>
      <c r="D19" s="498" t="s">
        <v>84</v>
      </c>
      <c r="E19" s="592">
        <f>'патриотика0,3664'!E59</f>
        <v>8</v>
      </c>
    </row>
    <row r="20" spans="1:5" ht="27" customHeight="1" x14ac:dyDescent="0.25">
      <c r="A20" s="772"/>
      <c r="B20" s="770"/>
      <c r="C20" s="500" t="str">
        <f>'патриотика0,3664'!A60</f>
        <v>Участие команды  Северо-Енисейского района в смене впц "Вымпел"</v>
      </c>
      <c r="D20" s="498" t="s">
        <v>84</v>
      </c>
      <c r="E20" s="592">
        <f>'патриотика0,3664'!E60</f>
        <v>0</v>
      </c>
    </row>
    <row r="21" spans="1:5" ht="27" customHeight="1" x14ac:dyDescent="0.25">
      <c r="A21" s="772"/>
      <c r="B21" s="770"/>
      <c r="C21" s="500" t="str">
        <f>'патриотика0,3664'!A61</f>
        <v>Проезд детей (6 детей)</v>
      </c>
      <c r="D21" s="498" t="s">
        <v>84</v>
      </c>
      <c r="E21" s="592">
        <f>'патриотика0,3664'!E61</f>
        <v>6</v>
      </c>
    </row>
    <row r="22" spans="1:5" ht="27" customHeight="1" x14ac:dyDescent="0.25">
      <c r="A22" s="772"/>
      <c r="B22" s="770"/>
      <c r="C22" s="500" t="str">
        <f>'патриотика0,3664'!A62</f>
        <v>Суточные детей (6 детей)</v>
      </c>
      <c r="D22" s="498" t="s">
        <v>84</v>
      </c>
      <c r="E22" s="592">
        <f>'патриотика0,3664'!E62</f>
        <v>12</v>
      </c>
    </row>
    <row r="23" spans="1:5" ht="27" customHeight="1" x14ac:dyDescent="0.25">
      <c r="A23" s="772"/>
      <c r="B23" s="770"/>
      <c r="C23" s="500" t="str">
        <f>'патриотика0,3664'!A63</f>
        <v xml:space="preserve">Проживание детей  </v>
      </c>
      <c r="D23" s="498" t="s">
        <v>84</v>
      </c>
      <c r="E23" s="592">
        <f>'патриотика0,3664'!E63</f>
        <v>0</v>
      </c>
    </row>
    <row r="24" spans="1:5" ht="27" customHeight="1" x14ac:dyDescent="0.25">
      <c r="A24" s="772"/>
      <c r="B24" s="770"/>
      <c r="C24" s="500" t="str">
        <f>'патриотика0,3664'!A64</f>
        <v>Краевой смотр-конкурс по Строевой подготовке в гп Северо-Енисейский</v>
      </c>
      <c r="D24" s="498" t="s">
        <v>84</v>
      </c>
      <c r="E24" s="592">
        <f>'патриотика0,3664'!E64</f>
        <v>0</v>
      </c>
    </row>
    <row r="25" spans="1:5" ht="27" customHeight="1" x14ac:dyDescent="0.25">
      <c r="A25" s="772"/>
      <c r="B25" s="770"/>
      <c r="C25" s="500" t="str">
        <f>'патриотика0,3664'!A65</f>
        <v>Проезд детей (3 детей)</v>
      </c>
      <c r="D25" s="498" t="s">
        <v>84</v>
      </c>
      <c r="E25" s="592">
        <f>'патриотика0,3664'!E65</f>
        <v>6</v>
      </c>
    </row>
    <row r="26" spans="1:5" ht="27" customHeight="1" x14ac:dyDescent="0.25">
      <c r="A26" s="772"/>
      <c r="B26" s="770"/>
      <c r="C26" s="500" t="str">
        <f>'патриотика0,3664'!A66</f>
        <v>Суточные детей (3 детей)</v>
      </c>
      <c r="D26" s="498" t="s">
        <v>84</v>
      </c>
      <c r="E26" s="592">
        <f>'патриотика0,3664'!E66</f>
        <v>9</v>
      </c>
    </row>
    <row r="27" spans="1:5" ht="27" customHeight="1" x14ac:dyDescent="0.25">
      <c r="A27" s="772"/>
      <c r="B27" s="770"/>
      <c r="C27" s="500" t="str">
        <f>'патриотика0,3664'!A67</f>
        <v xml:space="preserve">Проживание детей  </v>
      </c>
      <c r="D27" s="498" t="s">
        <v>84</v>
      </c>
      <c r="E27" s="592">
        <f>'патриотика0,3664'!E67</f>
        <v>0</v>
      </c>
    </row>
    <row r="28" spans="1:5" ht="27" customHeight="1" x14ac:dyDescent="0.25">
      <c r="A28" s="772"/>
      <c r="B28" s="770"/>
      <c r="C28" s="500" t="str">
        <f>'патриотика0,3664'!A68</f>
        <v>Муниципальный смотр-конкурс по Строевой подготовке в гп Северо-Енисейский</v>
      </c>
      <c r="D28" s="498" t="s">
        <v>84</v>
      </c>
      <c r="E28" s="592">
        <f>'патриотика0,3664'!E68</f>
        <v>0</v>
      </c>
    </row>
    <row r="29" spans="1:5" ht="27" customHeight="1" x14ac:dyDescent="0.25">
      <c r="A29" s="772"/>
      <c r="B29" s="770"/>
      <c r="C29" s="500" t="str">
        <f>'патриотика0,3664'!A69</f>
        <v>проезд детей из п. Новая Калами, п. Тея</v>
      </c>
      <c r="D29" s="498" t="s">
        <v>84</v>
      </c>
      <c r="E29" s="592">
        <f>'патриотика0,3664'!E69</f>
        <v>12</v>
      </c>
    </row>
    <row r="30" spans="1:5" ht="27" customHeight="1" x14ac:dyDescent="0.25">
      <c r="A30" s="772"/>
      <c r="B30" s="770"/>
      <c r="C30" s="500" t="str">
        <f>'патриотика0,3664'!A70</f>
        <v>Поисковая экспедиция</v>
      </c>
      <c r="D30" s="498" t="s">
        <v>84</v>
      </c>
      <c r="E30" s="592">
        <f>'патриотика0,3664'!E70</f>
        <v>0</v>
      </c>
    </row>
    <row r="31" spans="1:5" ht="27" customHeight="1" x14ac:dyDescent="0.25">
      <c r="A31" s="772"/>
      <c r="B31" s="770"/>
      <c r="C31" s="500" t="str">
        <f>'патриотика0,3664'!A71</f>
        <v xml:space="preserve">Проезд детей </v>
      </c>
      <c r="D31" s="498" t="s">
        <v>84</v>
      </c>
      <c r="E31" s="592">
        <f>'патриотика0,3664'!E71</f>
        <v>15</v>
      </c>
    </row>
    <row r="32" spans="1:5" ht="27" customHeight="1" x14ac:dyDescent="0.25">
      <c r="A32" s="772"/>
      <c r="B32" s="770"/>
      <c r="C32" s="500" t="str">
        <f>'патриотика0,3664'!A72</f>
        <v xml:space="preserve">Суточные детей </v>
      </c>
      <c r="D32" s="498" t="s">
        <v>84</v>
      </c>
      <c r="E32" s="592">
        <f>'патриотика0,3664'!E72</f>
        <v>15</v>
      </c>
    </row>
    <row r="33" spans="1:5" ht="27" customHeight="1" x14ac:dyDescent="0.25">
      <c r="A33" s="772"/>
      <c r="B33" s="770"/>
      <c r="C33" s="500" t="str">
        <f>'патриотика0,3664'!A73</f>
        <v>Проезд детей</v>
      </c>
      <c r="D33" s="498" t="s">
        <v>84</v>
      </c>
      <c r="E33" s="592">
        <f>'патриотика0,3664'!E73</f>
        <v>5</v>
      </c>
    </row>
    <row r="34" spans="1:5" ht="27" customHeight="1" x14ac:dyDescent="0.25">
      <c r="A34" s="772"/>
      <c r="B34" s="770"/>
      <c r="C34" s="500" t="str">
        <f>'патриотика0,3664'!A74</f>
        <v xml:space="preserve">Суточные детей </v>
      </c>
      <c r="D34" s="498" t="s">
        <v>84</v>
      </c>
      <c r="E34" s="592">
        <f>'патриотика0,3664'!E74</f>
        <v>6</v>
      </c>
    </row>
    <row r="35" spans="1:5" ht="27" customHeight="1" x14ac:dyDescent="0.25">
      <c r="A35" s="772"/>
      <c r="B35" s="770"/>
      <c r="C35" s="500" t="str">
        <f>'патриотика0,3664'!A75</f>
        <v>Участие молодежи Северо-Енисейского района в Российском патриотическом фестивале в г. Красноярск</v>
      </c>
      <c r="D35" s="498" t="s">
        <v>84</v>
      </c>
      <c r="E35" s="592">
        <f>'патриотика0,3664'!E75</f>
        <v>0</v>
      </c>
    </row>
    <row r="36" spans="1:5" ht="27" customHeight="1" x14ac:dyDescent="0.25">
      <c r="A36" s="772"/>
      <c r="B36" s="770"/>
      <c r="C36" s="500" t="str">
        <f>'патриотика0,3664'!A76</f>
        <v>Проезд детей</v>
      </c>
      <c r="D36" s="498" t="s">
        <v>84</v>
      </c>
      <c r="E36" s="592">
        <f>'патриотика0,3664'!E76</f>
        <v>1</v>
      </c>
    </row>
    <row r="37" spans="1:5" ht="27" customHeight="1" x14ac:dyDescent="0.25">
      <c r="A37" s="772"/>
      <c r="B37" s="770"/>
      <c r="C37" s="500" t="str">
        <f>'патриотика0,3664'!A77</f>
        <v>Проживание детей 2 детей</v>
      </c>
      <c r="D37" s="498" t="s">
        <v>84</v>
      </c>
      <c r="E37" s="592">
        <f>'патриотика0,3664'!E77</f>
        <v>8</v>
      </c>
    </row>
    <row r="38" spans="1:5" ht="27" customHeight="1" x14ac:dyDescent="0.25">
      <c r="A38" s="772"/>
      <c r="B38" s="770"/>
      <c r="C38" s="500" t="str">
        <f>'патриотика0,3664'!A78</f>
        <v>Суточные детей 2</v>
      </c>
      <c r="D38" s="498" t="s">
        <v>84</v>
      </c>
      <c r="E38" s="592">
        <f>'патриотика0,3664'!E78</f>
        <v>10</v>
      </c>
    </row>
    <row r="39" spans="1:5" ht="27" customHeight="1" x14ac:dyDescent="0.25">
      <c r="A39" s="772"/>
      <c r="B39" s="770"/>
      <c r="C39" s="500" t="str">
        <f>'патриотика0,3664'!A79</f>
        <v xml:space="preserve">Военно-спортивная игра «Сибирский щит: Орленок». Участие в Зональном этапе. </v>
      </c>
      <c r="D39" s="498" t="s">
        <v>84</v>
      </c>
      <c r="E39" s="592">
        <f>'патриотика0,3664'!E79</f>
        <v>0</v>
      </c>
    </row>
    <row r="40" spans="1:5" ht="27" customHeight="1" x14ac:dyDescent="0.25">
      <c r="A40" s="772"/>
      <c r="B40" s="770"/>
      <c r="C40" s="500" t="str">
        <f>'патриотика0,3664'!A80</f>
        <v>Проезд детей</v>
      </c>
      <c r="D40" s="498" t="s">
        <v>84</v>
      </c>
      <c r="E40" s="592">
        <f>'патриотика0,3664'!E80</f>
        <v>20</v>
      </c>
    </row>
    <row r="41" spans="1:5" ht="27" customHeight="1" x14ac:dyDescent="0.25">
      <c r="A41" s="772"/>
      <c r="B41" s="770"/>
      <c r="C41" s="500" t="str">
        <f>'патриотика0,3664'!A81</f>
        <v>Проживание детей 10 детей</v>
      </c>
      <c r="D41" s="498" t="s">
        <v>84</v>
      </c>
      <c r="E41" s="592">
        <f>'патриотика0,3664'!E81</f>
        <v>24</v>
      </c>
    </row>
    <row r="42" spans="1:5" ht="27" customHeight="1" x14ac:dyDescent="0.25">
      <c r="A42" s="772"/>
      <c r="B42" s="770"/>
      <c r="C42" s="500" t="str">
        <f>'патриотика0,3664'!A82</f>
        <v>Суточные детей 10</v>
      </c>
      <c r="D42" s="498" t="s">
        <v>84</v>
      </c>
      <c r="E42" s="592">
        <f>'патриотика0,3664'!E82</f>
        <v>24</v>
      </c>
    </row>
    <row r="43" spans="1:5" ht="27" customHeight="1" x14ac:dyDescent="0.25">
      <c r="A43" s="772"/>
      <c r="B43" s="770"/>
      <c r="C43" s="500" t="str">
        <f>'патриотика0,3664'!A83</f>
        <v>Пули RWS R10 Match Rifle 4,5 мм, 0,53 г (500 штук)</v>
      </c>
      <c r="D43" s="498" t="s">
        <v>84</v>
      </c>
      <c r="E43" s="592">
        <f>'патриотика0,3664'!E83</f>
        <v>1</v>
      </c>
    </row>
    <row r="44" spans="1:5" ht="27" customHeight="1" x14ac:dyDescent="0.25">
      <c r="A44" s="772"/>
      <c r="B44" s="770"/>
      <c r="C44" s="500" t="str">
        <f>'патриотика0,3664'!A84</f>
        <v>Пули Gamo Pro Match 4,5 мм, 0,49 г (500 штук)</v>
      </c>
      <c r="D44" s="498" t="s">
        <v>84</v>
      </c>
      <c r="E44" s="592">
        <f>'патриотика0,3664'!E84</f>
        <v>1</v>
      </c>
    </row>
    <row r="45" spans="1:5" ht="27" customHeight="1" x14ac:dyDescent="0.25">
      <c r="A45" s="772"/>
      <c r="B45" s="770"/>
      <c r="C45" s="500" t="str">
        <f>'патриотика0,3664'!A85</f>
        <v>Пули RWS R10 Match Pistol 4,5 мм, 0,45 г (500 штук)</v>
      </c>
      <c r="D45" s="498" t="s">
        <v>84</v>
      </c>
      <c r="E45" s="592">
        <f>'патриотика0,3664'!E85</f>
        <v>1</v>
      </c>
    </row>
    <row r="46" spans="1:5" ht="27" customHeight="1" x14ac:dyDescent="0.25">
      <c r="A46" s="772"/>
      <c r="B46" s="770"/>
      <c r="C46" s="500" t="str">
        <f>'патриотика0,3664'!A86</f>
        <v>Экипировка и форма для Юнармии, в том числе</v>
      </c>
      <c r="D46" s="498" t="s">
        <v>84</v>
      </c>
      <c r="E46" s="592">
        <f>'патриотика0,3664'!E86</f>
        <v>0</v>
      </c>
    </row>
    <row r="47" spans="1:5" ht="27" customHeight="1" x14ac:dyDescent="0.25">
      <c r="A47" s="772"/>
      <c r="B47" s="770"/>
      <c r="C47" s="500" t="str">
        <f>'патриотика0,3664'!A87</f>
        <v>Перчатки белые парадные с лучами р-р 18</v>
      </c>
      <c r="D47" s="498" t="s">
        <v>84</v>
      </c>
      <c r="E47" s="592">
        <f>'патриотика0,3664'!E87</f>
        <v>18</v>
      </c>
    </row>
    <row r="48" spans="1:5" ht="27" customHeight="1" x14ac:dyDescent="0.25">
      <c r="A48" s="772"/>
      <c r="B48" s="770"/>
      <c r="C48" s="500" t="str">
        <f>'патриотика0,3664'!A88</f>
        <v>Ремень</v>
      </c>
      <c r="D48" s="498" t="s">
        <v>84</v>
      </c>
      <c r="E48" s="592">
        <f>'патриотика0,3664'!E88</f>
        <v>20</v>
      </c>
    </row>
    <row r="49" spans="1:5" ht="27" customHeight="1" x14ac:dyDescent="0.25">
      <c r="A49" s="772"/>
      <c r="B49" s="770"/>
      <c r="C49" s="500" t="str">
        <f>'патриотика0,3664'!A89</f>
        <v>Значок большой</v>
      </c>
      <c r="D49" s="498" t="s">
        <v>84</v>
      </c>
      <c r="E49" s="592">
        <f>'патриотика0,3664'!E89</f>
        <v>20</v>
      </c>
    </row>
    <row r="50" spans="1:5" ht="27" customHeight="1" x14ac:dyDescent="0.25">
      <c r="A50" s="772"/>
      <c r="B50" s="770"/>
      <c r="C50" s="500" t="str">
        <f>'патриотика0,3664'!A90</f>
        <v>Значок малый</v>
      </c>
      <c r="D50" s="498" t="s">
        <v>84</v>
      </c>
      <c r="E50" s="592">
        <f>'патриотика0,3664'!E90</f>
        <v>20</v>
      </c>
    </row>
    <row r="51" spans="1:5" ht="27" customHeight="1" x14ac:dyDescent="0.25">
      <c r="A51" s="772"/>
      <c r="B51" s="770"/>
      <c r="C51" s="500" t="str">
        <f>'патриотика0,3664'!A91</f>
        <v>Погон Юнармеец</v>
      </c>
      <c r="D51" s="498" t="s">
        <v>84</v>
      </c>
      <c r="E51" s="592">
        <f>'патриотика0,3664'!E91</f>
        <v>20</v>
      </c>
    </row>
    <row r="52" spans="1:5" ht="27" customHeight="1" x14ac:dyDescent="0.25">
      <c r="A52" s="772"/>
      <c r="B52" s="770"/>
      <c r="C52" s="500" t="str">
        <f>'патриотика0,3664'!A92</f>
        <v>Погон "Юнармия" командир отделения</v>
      </c>
      <c r="D52" s="498" t="s">
        <v>84</v>
      </c>
      <c r="E52" s="592">
        <f>'патриотика0,3664'!E92</f>
        <v>4</v>
      </c>
    </row>
    <row r="53" spans="1:5" ht="27" customHeight="1" x14ac:dyDescent="0.25">
      <c r="A53" s="772"/>
      <c r="B53" s="770"/>
      <c r="C53" s="500" t="str">
        <f>'патриотика0,3664'!A93</f>
        <v>Нашивка Юнармия</v>
      </c>
      <c r="D53" s="498" t="s">
        <v>84</v>
      </c>
      <c r="E53" s="592">
        <f>'патриотика0,3664'!E93</f>
        <v>20</v>
      </c>
    </row>
    <row r="54" spans="1:5" ht="27" customHeight="1" x14ac:dyDescent="0.25">
      <c r="A54" s="772"/>
      <c r="B54" s="770"/>
      <c r="C54" s="500" t="str">
        <f>'патриотика0,3664'!A94</f>
        <v>Личная книжка Юнармейца</v>
      </c>
      <c r="D54" s="498" t="s">
        <v>84</v>
      </c>
      <c r="E54" s="592">
        <f>'патриотика0,3664'!E94</f>
        <v>50</v>
      </c>
    </row>
    <row r="55" spans="1:5" ht="27" customHeight="1" x14ac:dyDescent="0.25">
      <c r="A55" s="772"/>
      <c r="B55" s="770"/>
      <c r="C55" s="500" t="str">
        <f>'патриотика0,3664'!A95</f>
        <v>Аптечка</v>
      </c>
      <c r="D55" s="498" t="s">
        <v>84</v>
      </c>
      <c r="E55" s="592">
        <f>'патриотика0,3664'!E95</f>
        <v>1</v>
      </c>
    </row>
    <row r="56" spans="1:5" ht="27" customHeight="1" x14ac:dyDescent="0.25">
      <c r="A56" s="772"/>
      <c r="B56" s="770"/>
      <c r="C56" s="500" t="str">
        <f>'патриотика0,3664'!A96</f>
        <v>Нашивка ФИО</v>
      </c>
      <c r="D56" s="498" t="s">
        <v>84</v>
      </c>
      <c r="E56" s="592">
        <f>'патриотика0,3664'!E96</f>
        <v>20</v>
      </c>
    </row>
    <row r="57" spans="1:5" ht="27" customHeight="1" x14ac:dyDescent="0.25">
      <c r="A57" s="772"/>
      <c r="B57" s="770"/>
      <c r="C57" s="500" t="str">
        <f>'патриотика0,3664'!A97</f>
        <v>Жакет в комплекте с шевронами р-р 40-42 рост 158-164</v>
      </c>
      <c r="D57" s="498" t="s">
        <v>84</v>
      </c>
      <c r="E57" s="592">
        <f>'патриотика0,3664'!E97</f>
        <v>8</v>
      </c>
    </row>
    <row r="58" spans="1:5" ht="27" customHeight="1" x14ac:dyDescent="0.25">
      <c r="A58" s="772"/>
      <c r="B58" s="770"/>
      <c r="C58" s="500" t="str">
        <f>'патриотика0,3664'!A98</f>
        <v>Жакет в комплекте с шевронами р-р 44-46 рост 158-164</v>
      </c>
      <c r="D58" s="498" t="s">
        <v>84</v>
      </c>
      <c r="E58" s="592">
        <f>'патриотика0,3664'!E98</f>
        <v>6</v>
      </c>
    </row>
    <row r="59" spans="1:5" ht="27" customHeight="1" x14ac:dyDescent="0.25">
      <c r="A59" s="772"/>
      <c r="B59" s="770"/>
      <c r="C59" s="500" t="str">
        <f>'патриотика0,3664'!A99</f>
        <v>Жакет в комплекте с шевронами р-р 48-50 рост 158-164</v>
      </c>
      <c r="D59" s="498" t="s">
        <v>84</v>
      </c>
      <c r="E59" s="592">
        <f>'патриотика0,3664'!E99</f>
        <v>2</v>
      </c>
    </row>
    <row r="60" spans="1:5" ht="27" customHeight="1" x14ac:dyDescent="0.25">
      <c r="A60" s="772"/>
      <c r="B60" s="770"/>
      <c r="C60" s="500" t="str">
        <f>'патриотика0,3664'!A100</f>
        <v>Брюки бежевые р-р 40-42 рост 158-164</v>
      </c>
      <c r="D60" s="498" t="s">
        <v>84</v>
      </c>
      <c r="E60" s="592">
        <f>'патриотика0,3664'!E100</f>
        <v>8</v>
      </c>
    </row>
    <row r="61" spans="1:5" ht="27" customHeight="1" x14ac:dyDescent="0.25">
      <c r="A61" s="772"/>
      <c r="B61" s="770"/>
      <c r="C61" s="500" t="str">
        <f>'патриотика0,3664'!A101</f>
        <v>Брюки бежевые р-р 44-46 рост 158-164</v>
      </c>
      <c r="D61" s="498" t="s">
        <v>84</v>
      </c>
      <c r="E61" s="592">
        <f>'патриотика0,3664'!E101</f>
        <v>6</v>
      </c>
    </row>
    <row r="62" spans="1:5" ht="27" customHeight="1" x14ac:dyDescent="0.25">
      <c r="A62" s="772"/>
      <c r="B62" s="770"/>
      <c r="C62" s="500" t="str">
        <f>'патриотика0,3664'!A102</f>
        <v>Брюки бежевые р-р 48-50 рост 158-164</v>
      </c>
      <c r="D62" s="498" t="s">
        <v>84</v>
      </c>
      <c r="E62" s="592">
        <f>'патриотика0,3664'!E102</f>
        <v>2</v>
      </c>
    </row>
    <row r="63" spans="1:5" ht="27" customHeight="1" x14ac:dyDescent="0.25">
      <c r="A63" s="772"/>
      <c r="B63" s="770"/>
      <c r="C63" s="500" t="str">
        <f>'патриотика0,3664'!A103</f>
        <v>Платье, цвет бежевый р-р 44-46 рост 158-164</v>
      </c>
      <c r="D63" s="498" t="s">
        <v>84</v>
      </c>
      <c r="E63" s="592">
        <f>'патриотика0,3664'!E103</f>
        <v>1</v>
      </c>
    </row>
    <row r="64" spans="1:5" ht="27" customHeight="1" x14ac:dyDescent="0.25">
      <c r="A64" s="772"/>
      <c r="B64" s="770"/>
      <c r="C64" s="500" t="str">
        <f>'патриотика0,3664'!A104</f>
        <v>Куртка демисезонная в комплекте с шевронами на рукавах р-р 40-42 рост 158-164</v>
      </c>
      <c r="D64" s="498" t="s">
        <v>84</v>
      </c>
      <c r="E64" s="592">
        <f>'патриотика0,3664'!E104</f>
        <v>4</v>
      </c>
    </row>
    <row r="65" spans="1:5" ht="27" customHeight="1" x14ac:dyDescent="0.25">
      <c r="A65" s="772"/>
      <c r="B65" s="770"/>
      <c r="C65" s="500" t="str">
        <f>'патриотика0,3664'!A105</f>
        <v>Куртка демисезонная в комплекте с шевронами на рукавах р-р 44-46 рост 158-164</v>
      </c>
      <c r="D65" s="498" t="s">
        <v>84</v>
      </c>
      <c r="E65" s="592">
        <f>'патриотика0,3664'!E105</f>
        <v>6</v>
      </c>
    </row>
    <row r="66" spans="1:5" ht="27" customHeight="1" x14ac:dyDescent="0.25">
      <c r="A66" s="772"/>
      <c r="B66" s="770"/>
      <c r="C66" s="500" t="str">
        <f>'патриотика0,3664'!A106</f>
        <v>Куртка демисезонная в комплекте с шевронами на рукавах р-р 48-50 рост 158-164</v>
      </c>
      <c r="D66" s="498" t="s">
        <v>84</v>
      </c>
      <c r="E66" s="592">
        <f>'патриотика0,3664'!E106</f>
        <v>2</v>
      </c>
    </row>
    <row r="67" spans="1:5" ht="27" customHeight="1" x14ac:dyDescent="0.25">
      <c r="A67" s="772"/>
      <c r="B67" s="770"/>
      <c r="C67" s="500" t="str">
        <f>'патриотика0,3664'!A107</f>
        <v>Берцы утепленные р-р 36</v>
      </c>
      <c r="D67" s="498" t="s">
        <v>84</v>
      </c>
      <c r="E67" s="592">
        <f>'патриотика0,3664'!E107</f>
        <v>2</v>
      </c>
    </row>
    <row r="68" spans="1:5" ht="27" customHeight="1" x14ac:dyDescent="0.25">
      <c r="A68" s="772"/>
      <c r="B68" s="770"/>
      <c r="C68" s="500" t="str">
        <f>'патриотика0,3664'!A108</f>
        <v>Берцы утепленные р-р 37</v>
      </c>
      <c r="D68" s="498" t="s">
        <v>84</v>
      </c>
      <c r="E68" s="592">
        <f>'патриотика0,3664'!E108</f>
        <v>6</v>
      </c>
    </row>
    <row r="69" spans="1:5" ht="27" customHeight="1" x14ac:dyDescent="0.25">
      <c r="A69" s="772"/>
      <c r="B69" s="770"/>
      <c r="C69" s="500" t="str">
        <f>'патриотика0,3664'!A109</f>
        <v>Берцы утепленные р-р 38</v>
      </c>
      <c r="D69" s="498" t="s">
        <v>84</v>
      </c>
      <c r="E69" s="592">
        <f>'патриотика0,3664'!E109</f>
        <v>3</v>
      </c>
    </row>
    <row r="70" spans="1:5" ht="27" customHeight="1" x14ac:dyDescent="0.25">
      <c r="A70" s="772"/>
      <c r="B70" s="770"/>
      <c r="C70" s="500" t="str">
        <f>'патриотика0,3664'!A110</f>
        <v>Берцы утепленные р-р 39</v>
      </c>
      <c r="D70" s="498" t="s">
        <v>84</v>
      </c>
      <c r="E70" s="592">
        <f>'патриотика0,3664'!E110</f>
        <v>4</v>
      </c>
    </row>
    <row r="71" spans="1:5" ht="27" customHeight="1" x14ac:dyDescent="0.25">
      <c r="A71" s="772"/>
      <c r="B71" s="770"/>
      <c r="C71" s="500" t="str">
        <f>'патриотика0,3664'!A111</f>
        <v>Берцы утепленные р-р 40</v>
      </c>
      <c r="D71" s="498" t="s">
        <v>84</v>
      </c>
      <c r="E71" s="592">
        <f>'патриотика0,3664'!E111</f>
        <v>2</v>
      </c>
    </row>
    <row r="72" spans="1:5" ht="27" customHeight="1" x14ac:dyDescent="0.25">
      <c r="A72" s="772"/>
      <c r="B72" s="770"/>
      <c r="C72" s="500" t="str">
        <f>'патриотика0,3664'!A112</f>
        <v>георгиевская лента ширина 35 мм</v>
      </c>
      <c r="D72" s="498" t="s">
        <v>84</v>
      </c>
      <c r="E72" s="592">
        <f>'патриотика0,3664'!E112</f>
        <v>10</v>
      </c>
    </row>
    <row r="73" spans="1:5" ht="27" customHeight="1" x14ac:dyDescent="0.25">
      <c r="A73" s="772"/>
      <c r="B73" s="770"/>
      <c r="C73" s="500" t="str">
        <f>'патриотика0,3664'!A113</f>
        <v>георгиевская лента ширина 24 мм</v>
      </c>
      <c r="D73" s="498" t="s">
        <v>84</v>
      </c>
      <c r="E73" s="592">
        <f>'патриотика0,3664'!E113</f>
        <v>2</v>
      </c>
    </row>
    <row r="74" spans="1:5" ht="27" customHeight="1" x14ac:dyDescent="0.25">
      <c r="A74" s="772"/>
      <c r="B74" s="770"/>
      <c r="C74" s="500" t="str">
        <f>'патриотика0,3664'!A114</f>
        <v>российския триколор лента 24 мм</v>
      </c>
      <c r="D74" s="498" t="s">
        <v>84</v>
      </c>
      <c r="E74" s="592">
        <f>'патриотика0,3664'!E114</f>
        <v>1</v>
      </c>
    </row>
    <row r="75" spans="1:5" ht="27" customHeight="1" x14ac:dyDescent="0.25">
      <c r="A75" s="772"/>
      <c r="B75" s="770"/>
      <c r="C75" s="500" t="str">
        <f>'патриотика0,3664'!A115</f>
        <v>российския триколор лента 35 мм</v>
      </c>
      <c r="D75" s="498" t="s">
        <v>84</v>
      </c>
      <c r="E75" s="592">
        <f>'патриотика0,3664'!E115</f>
        <v>1</v>
      </c>
    </row>
    <row r="76" spans="1:5" ht="27" customHeight="1" x14ac:dyDescent="0.25">
      <c r="A76" s="772"/>
      <c r="B76" s="770"/>
      <c r="C76" s="500" t="str">
        <f>'патриотика0,3664'!A116</f>
        <v>зазигалка виссен</v>
      </c>
      <c r="D76" s="498" t="s">
        <v>84</v>
      </c>
      <c r="E76" s="592">
        <f>'патриотика0,3664'!E116</f>
        <v>10</v>
      </c>
    </row>
    <row r="77" spans="1:5" ht="27" customHeight="1" x14ac:dyDescent="0.25">
      <c r="A77" s="772"/>
      <c r="B77" s="770"/>
      <c r="C77" s="500" t="str">
        <f>'патриотика0,3664'!A117</f>
        <v>зажигалка-горелка</v>
      </c>
      <c r="D77" s="498" t="s">
        <v>84</v>
      </c>
      <c r="E77" s="592">
        <f>'патриотика0,3664'!E117</f>
        <v>2</v>
      </c>
    </row>
    <row r="78" spans="1:5" ht="27" customHeight="1" x14ac:dyDescent="0.25">
      <c r="A78" s="772"/>
      <c r="B78" s="770"/>
      <c r="C78" s="500" t="str">
        <f>'патриотика0,3664'!A118</f>
        <v>заготовки для броши черные 10 шт</v>
      </c>
      <c r="D78" s="498" t="s">
        <v>84</v>
      </c>
      <c r="E78" s="592">
        <f>'патриотика0,3664'!E118</f>
        <v>3</v>
      </c>
    </row>
    <row r="79" spans="1:5" ht="27" customHeight="1" x14ac:dyDescent="0.25">
      <c r="A79" s="772"/>
      <c r="B79" s="770"/>
      <c r="C79" s="500" t="str">
        <f>'патриотика0,3664'!A119</f>
        <v>заготовки для броши белые 10 шт</v>
      </c>
      <c r="D79" s="498" t="s">
        <v>84</v>
      </c>
      <c r="E79" s="592">
        <f>'патриотика0,3664'!E119</f>
        <v>3</v>
      </c>
    </row>
    <row r="80" spans="1:5" ht="27" customHeight="1" x14ac:dyDescent="0.25">
      <c r="A80" s="772"/>
      <c r="B80" s="770"/>
      <c r="C80" s="500" t="str">
        <f>'патриотика0,3664'!A120</f>
        <v>текстолит стержневой 40мм</v>
      </c>
      <c r="D80" s="498" t="s">
        <v>84</v>
      </c>
      <c r="E80" s="592">
        <f>'патриотика0,3664'!E120</f>
        <v>2</v>
      </c>
    </row>
    <row r="81" spans="1:5" ht="27" customHeight="1" x14ac:dyDescent="0.25">
      <c r="A81" s="772"/>
      <c r="B81" s="770"/>
      <c r="C81" s="500" t="str">
        <f>'патриотика0,3664'!A121</f>
        <v>текстолит 1мм</v>
      </c>
      <c r="D81" s="498" t="s">
        <v>84</v>
      </c>
      <c r="E81" s="592">
        <f>'патриотика0,3664'!E121</f>
        <v>1</v>
      </c>
    </row>
    <row r="82" spans="1:5" ht="27" customHeight="1" x14ac:dyDescent="0.25">
      <c r="A82" s="772"/>
      <c r="B82" s="770"/>
      <c r="C82" s="500" t="str">
        <f>'патриотика0,3664'!A122</f>
        <v>текстолит 30 мм</v>
      </c>
      <c r="D82" s="498" t="s">
        <v>84</v>
      </c>
      <c r="E82" s="592">
        <f>'патриотика0,3664'!E122</f>
        <v>1</v>
      </c>
    </row>
    <row r="83" spans="1:5" ht="27" customHeight="1" x14ac:dyDescent="0.25">
      <c r="A83" s="772"/>
      <c r="B83" s="770"/>
      <c r="C83" s="500" t="str">
        <f>'патриотика0,3664'!A123</f>
        <v>вешалка-плечики</v>
      </c>
      <c r="D83" s="498" t="s">
        <v>84</v>
      </c>
      <c r="E83" s="592">
        <f>'патриотика0,3664'!E123</f>
        <v>100</v>
      </c>
    </row>
    <row r="84" spans="1:5" ht="27" customHeight="1" x14ac:dyDescent="0.25">
      <c r="A84" s="772"/>
      <c r="B84" s="770"/>
      <c r="C84" s="500" t="str">
        <f>'патриотика0,3664'!A124</f>
        <v xml:space="preserve">банер 9 мая люверсы </v>
      </c>
      <c r="D84" s="498" t="s">
        <v>84</v>
      </c>
      <c r="E84" s="592">
        <f>'патриотика0,3664'!E124</f>
        <v>1</v>
      </c>
    </row>
    <row r="85" spans="1:5" ht="27" customHeight="1" x14ac:dyDescent="0.25">
      <c r="A85" s="772"/>
      <c r="B85" s="770"/>
      <c r="C85" s="500" t="str">
        <f>'патриотика0,3664'!A125</f>
        <v>Фанера 10 мм (1525х1525), водостойкая</v>
      </c>
      <c r="D85" s="498" t="s">
        <v>84</v>
      </c>
      <c r="E85" s="592">
        <f>'патриотика0,3664'!E125</f>
        <v>20</v>
      </c>
    </row>
    <row r="86" spans="1:5" ht="27" customHeight="1" x14ac:dyDescent="0.25">
      <c r="A86" s="772"/>
      <c r="B86" s="770"/>
      <c r="C86" s="500" t="str">
        <f>'патриотика0,3664'!A126</f>
        <v>Фанера 6 мм (1525х1525), водостойкая</v>
      </c>
      <c r="D86" s="498" t="s">
        <v>84</v>
      </c>
      <c r="E86" s="592">
        <f>'патриотика0,3664'!E126</f>
        <v>20</v>
      </c>
    </row>
    <row r="87" spans="1:5" ht="27" customHeight="1" x14ac:dyDescent="0.25">
      <c r="A87" s="772"/>
      <c r="B87" s="770"/>
      <c r="C87" s="500" t="str">
        <f>'патриотика0,3664'!A127</f>
        <v>Фанера 4 мм (1525х1525), водостойкая</v>
      </c>
      <c r="D87" s="498" t="s">
        <v>84</v>
      </c>
      <c r="E87" s="592">
        <f>'патриотика0,3664'!E127</f>
        <v>10</v>
      </c>
    </row>
    <row r="88" spans="1:5" ht="27" customHeight="1" x14ac:dyDescent="0.25">
      <c r="A88" s="772"/>
      <c r="B88" s="770"/>
      <c r="C88" s="500" t="str">
        <f>'патриотика0,3664'!A128</f>
        <v>Брусок 50х50х3000</v>
      </c>
      <c r="D88" s="498" t="s">
        <v>84</v>
      </c>
      <c r="E88" s="592">
        <f>'патриотика0,3664'!E128</f>
        <v>30</v>
      </c>
    </row>
    <row r="89" spans="1:5" ht="27" customHeight="1" x14ac:dyDescent="0.25">
      <c r="A89" s="772"/>
      <c r="B89" s="770"/>
      <c r="C89" s="500" t="str">
        <f>'патриотика0,3664'!A129</f>
        <v>Брусок 30х40х3000</v>
      </c>
      <c r="D89" s="498" t="s">
        <v>84</v>
      </c>
      <c r="E89" s="592">
        <f>'патриотика0,3664'!E129</f>
        <v>30</v>
      </c>
    </row>
    <row r="90" spans="1:5" ht="27" customHeight="1" x14ac:dyDescent="0.25">
      <c r="A90" s="772"/>
      <c r="B90" s="770"/>
      <c r="C90" s="500" t="str">
        <f>'патриотика0,3664'!A130</f>
        <v>Брусок 20х20х100</v>
      </c>
      <c r="D90" s="498" t="s">
        <v>84</v>
      </c>
      <c r="E90" s="592">
        <f>'патриотика0,3664'!E130</f>
        <v>200</v>
      </c>
    </row>
    <row r="91" spans="1:5" ht="27" customHeight="1" x14ac:dyDescent="0.25">
      <c r="A91" s="772"/>
      <c r="B91" s="770"/>
      <c r="C91" s="500" t="str">
        <f>'патриотика0,3664'!A131</f>
        <v>Ложка столовая одноразовая ПС 160мм (2000)</v>
      </c>
      <c r="D91" s="498" t="s">
        <v>84</v>
      </c>
      <c r="E91" s="592">
        <f>'патриотика0,3664'!E131</f>
        <v>2000</v>
      </c>
    </row>
    <row r="92" spans="1:5" ht="27" customHeight="1" x14ac:dyDescent="0.25">
      <c r="A92" s="772"/>
      <c r="B92" s="770"/>
      <c r="C92" s="500" t="str">
        <f>'патриотика0,3664'!A132</f>
        <v>Тарелка суповая 500 мл (1800/50) НОВОСИБ</v>
      </c>
      <c r="D92" s="498" t="s">
        <v>84</v>
      </c>
      <c r="E92" s="592">
        <f>'патриотика0,3664'!E132</f>
        <v>1800</v>
      </c>
    </row>
    <row r="93" spans="1:5" ht="27" customHeight="1" x14ac:dyDescent="0.25">
      <c r="A93" s="772"/>
      <c r="B93" s="770"/>
      <c r="C93" s="500" t="str">
        <f>'патриотика0,3664'!A133</f>
        <v>Стакан проз. 200мл. Эконом-Класс 100/ (3000шт.)</v>
      </c>
      <c r="D93" s="498" t="s">
        <v>84</v>
      </c>
      <c r="E93" s="592">
        <f>'патриотика0,3664'!E133</f>
        <v>3000</v>
      </c>
    </row>
    <row r="94" spans="1:5" ht="27" customHeight="1" x14ac:dyDescent="0.25">
      <c r="A94" s="772"/>
      <c r="B94" s="770"/>
      <c r="C94" s="500" t="str">
        <f>'патриотика0,3664'!A134</f>
        <v>ОМОН Ботинки с высокими берцами, р 39</v>
      </c>
      <c r="D94" s="498" t="s">
        <v>84</v>
      </c>
      <c r="E94" s="592">
        <f>'патриотика0,3664'!E134</f>
        <v>1</v>
      </c>
    </row>
    <row r="95" spans="1:5" ht="27" customHeight="1" x14ac:dyDescent="0.25">
      <c r="A95" s="772"/>
      <c r="B95" s="770"/>
      <c r="C95" s="500" t="str">
        <f>'патриотика0,3664'!A135</f>
        <v>ОМОН Ботинки с высокими берцами, р 38</v>
      </c>
      <c r="D95" s="498" t="s">
        <v>84</v>
      </c>
      <c r="E95" s="592">
        <f>'патриотика0,3664'!E135</f>
        <v>4</v>
      </c>
    </row>
    <row r="96" spans="1:5" ht="27" customHeight="1" x14ac:dyDescent="0.25">
      <c r="A96" s="772"/>
      <c r="B96" s="770"/>
      <c r="C96" s="500" t="str">
        <f>'патриотика0,3664'!A136</f>
        <v>ОМОН Ботинки с высокими берцами, р 37</v>
      </c>
      <c r="D96" s="498" t="s">
        <v>84</v>
      </c>
      <c r="E96" s="592">
        <f>'патриотика0,3664'!E136</f>
        <v>3</v>
      </c>
    </row>
    <row r="97" spans="1:5" ht="27" customHeight="1" x14ac:dyDescent="0.25">
      <c r="A97" s="772"/>
      <c r="B97" s="770"/>
      <c r="C97" s="500" t="str">
        <f>'патриотика0,3664'!A137</f>
        <v>ОМОН Ботинки с высокими берцами, р 36</v>
      </c>
      <c r="D97" s="498" t="s">
        <v>84</v>
      </c>
      <c r="E97" s="592">
        <f>'патриотика0,3664'!E137</f>
        <v>3</v>
      </c>
    </row>
    <row r="98" spans="1:5" ht="27" customHeight="1" x14ac:dyDescent="0.25">
      <c r="A98" s="772"/>
      <c r="B98" s="770"/>
      <c r="C98" s="500" t="str">
        <f>'патриотика0,3664'!A138</f>
        <v>ОМОН Ботинки с высокими берцами, р 40</v>
      </c>
      <c r="D98" s="498" t="s">
        <v>84</v>
      </c>
      <c r="E98" s="592">
        <f>'патриотика0,3664'!E138</f>
        <v>2</v>
      </c>
    </row>
    <row r="99" spans="1:5" ht="27" customHeight="1" x14ac:dyDescent="0.25">
      <c r="A99" s="772"/>
      <c r="B99" s="770"/>
      <c r="C99" s="500" t="str">
        <f>'патриотика0,3664'!A139</f>
        <v>Костюм летний Горка 8 Мультикам, р 41/1</v>
      </c>
      <c r="D99" s="498" t="s">
        <v>84</v>
      </c>
      <c r="E99" s="592">
        <f>'патриотика0,3664'!E139</f>
        <v>2</v>
      </c>
    </row>
    <row r="100" spans="1:5" ht="30" customHeight="1" x14ac:dyDescent="0.25">
      <c r="A100" s="772"/>
      <c r="B100" s="770"/>
      <c r="C100" s="500" t="str">
        <f>'патриотика0,3664'!A140</f>
        <v>Костбм летний Горка 8 Мультикам, р 42/2</v>
      </c>
      <c r="D100" s="498" t="s">
        <v>84</v>
      </c>
      <c r="E100" s="592">
        <f>'патриотика0,3664'!E140</f>
        <v>2</v>
      </c>
    </row>
    <row r="101" spans="1:5" ht="12" customHeight="1" x14ac:dyDescent="0.25">
      <c r="A101" s="772"/>
      <c r="B101" s="770"/>
      <c r="C101" s="500" t="str">
        <f>'патриотика0,3664'!A141</f>
        <v>Костюм летний Горка 8 Мультикам, р 44/2</v>
      </c>
      <c r="D101" s="498" t="s">
        <v>84</v>
      </c>
      <c r="E101" s="592">
        <f>'патриотика0,3664'!E141</f>
        <v>2</v>
      </c>
    </row>
    <row r="102" spans="1:5" ht="12" customHeight="1" x14ac:dyDescent="0.25">
      <c r="A102" s="772"/>
      <c r="B102" s="770"/>
      <c r="C102" s="500" t="str">
        <f>'патриотика0,3664'!A142</f>
        <v>Костбм летний Горка 8 Мультикам, р 46/2</v>
      </c>
      <c r="D102" s="498" t="s">
        <v>84</v>
      </c>
      <c r="E102" s="592">
        <f>'патриотика0,3664'!E142</f>
        <v>3</v>
      </c>
    </row>
    <row r="103" spans="1:5" ht="12" customHeight="1" x14ac:dyDescent="0.25">
      <c r="A103" s="772"/>
      <c r="B103" s="770"/>
      <c r="C103" s="500" t="str">
        <f>'патриотика0,3664'!A143</f>
        <v>Костюм летний Горка 8 Мультикам, р 46/3</v>
      </c>
      <c r="D103" s="498" t="s">
        <v>84</v>
      </c>
      <c r="E103" s="592">
        <f>'патриотика0,3664'!E143</f>
        <v>4</v>
      </c>
    </row>
    <row r="104" spans="1:5" ht="12" customHeight="1" x14ac:dyDescent="0.25">
      <c r="A104" s="772"/>
      <c r="B104" s="770"/>
      <c r="C104" s="500" t="str">
        <f>'патриотика0,3664'!A144</f>
        <v>Костбм летний Горка 8 Мультикам, р 48/3</v>
      </c>
      <c r="D104" s="498" t="s">
        <v>84</v>
      </c>
      <c r="E104" s="592">
        <f>'патриотика0,3664'!E144</f>
        <v>1</v>
      </c>
    </row>
    <row r="105" spans="1:5" ht="12" customHeight="1" x14ac:dyDescent="0.25">
      <c r="A105" s="772"/>
      <c r="B105" s="770"/>
      <c r="C105" s="500" t="str">
        <f>'патриотика0,3664'!A145</f>
        <v>Костюм летний Горка 8 Мультикам, р 50/4</v>
      </c>
      <c r="D105" s="237" t="s">
        <v>84</v>
      </c>
      <c r="E105" s="592">
        <f>'патриотика0,3664'!E145</f>
        <v>1</v>
      </c>
    </row>
    <row r="106" spans="1:5" ht="12" customHeight="1" x14ac:dyDescent="0.25">
      <c r="A106" s="772"/>
      <c r="B106" s="770"/>
      <c r="C106" s="500" t="str">
        <f>'патриотика0,3664'!A146</f>
        <v>Статуэтка на подставке из дерева "Знай наших"</v>
      </c>
      <c r="D106" s="237" t="s">
        <v>84</v>
      </c>
      <c r="E106" s="592">
        <f>'патриотика0,3664'!E146</f>
        <v>1</v>
      </c>
    </row>
    <row r="107" spans="1:5" ht="12" customHeight="1" x14ac:dyDescent="0.25">
      <c r="A107" s="772"/>
      <c r="B107" s="770"/>
      <c r="C107" s="500" t="str">
        <f>'патриотика0,3664'!A147</f>
        <v>Спальный мешок Tramp Voyager Compact оранж с правой стороны</v>
      </c>
      <c r="D107" s="237" t="s">
        <v>84</v>
      </c>
      <c r="E107" s="592">
        <f>'патриотика0,3664'!E147</f>
        <v>6</v>
      </c>
    </row>
    <row r="108" spans="1:5" ht="12" customHeight="1" x14ac:dyDescent="0.25">
      <c r="A108" s="772"/>
      <c r="B108" s="770"/>
      <c r="C108" s="500" t="str">
        <f>'патриотика0,3664'!A148</f>
        <v>ПРОЕКТ "ЖИВАЯ СТАЛЬ"</v>
      </c>
      <c r="D108" s="237" t="s">
        <v>84</v>
      </c>
      <c r="E108" s="592">
        <f>'патриотика0,3664'!E148</f>
        <v>0</v>
      </c>
    </row>
    <row r="109" spans="1:5" ht="12" customHeight="1" x14ac:dyDescent="0.25">
      <c r="A109" s="772"/>
      <c r="B109" s="770"/>
      <c r="C109" s="500" t="str">
        <f>'патриотика0,3664'!A149</f>
        <v>табличка нарезная "участник ВОВ"</v>
      </c>
      <c r="D109" s="237" t="s">
        <v>84</v>
      </c>
      <c r="E109" s="592">
        <f>'патриотика0,3664'!E149</f>
        <v>40</v>
      </c>
    </row>
    <row r="110" spans="1:5" ht="12" customHeight="1" x14ac:dyDescent="0.25">
      <c r="A110" s="772"/>
      <c r="B110" s="770"/>
      <c r="C110" s="500" t="str">
        <f>'патриотика0,3664'!A150</f>
        <v>Эмаль ПФ</v>
      </c>
      <c r="D110" s="237" t="s">
        <v>84</v>
      </c>
      <c r="E110" s="592">
        <f>'патриотика0,3664'!E150</f>
        <v>2</v>
      </c>
    </row>
    <row r="111" spans="1:5" ht="12" hidden="1" customHeight="1" x14ac:dyDescent="0.25">
      <c r="A111" s="772"/>
      <c r="B111" s="770"/>
      <c r="C111" s="126" t="e">
        <f>'патриотика0,3664'!#REF!</f>
        <v>#REF!</v>
      </c>
      <c r="D111" s="237" t="s">
        <v>84</v>
      </c>
      <c r="E111" s="90" t="e">
        <f>'патриотика0,3664'!#REF!</f>
        <v>#REF!</v>
      </c>
    </row>
    <row r="112" spans="1:5" ht="12" hidden="1" customHeight="1" x14ac:dyDescent="0.25">
      <c r="A112" s="772"/>
      <c r="B112" s="770"/>
      <c r="C112" s="126" t="e">
        <f>'патриотика0,3664'!#REF!</f>
        <v>#REF!</v>
      </c>
      <c r="D112" s="237" t="s">
        <v>84</v>
      </c>
      <c r="E112" s="90" t="e">
        <f>'патриотика0,3664'!#REF!</f>
        <v>#REF!</v>
      </c>
    </row>
    <row r="113" spans="1:5" ht="12" hidden="1" customHeight="1" x14ac:dyDescent="0.25">
      <c r="A113" s="772"/>
      <c r="B113" s="770"/>
      <c r="C113" s="126">
        <f>'патриотика0,3664'!A155</f>
        <v>0</v>
      </c>
      <c r="D113" s="237" t="s">
        <v>84</v>
      </c>
      <c r="E113" s="255"/>
    </row>
    <row r="114" spans="1:5" ht="12" hidden="1" customHeight="1" x14ac:dyDescent="0.25">
      <c r="A114" s="772"/>
      <c r="B114" s="770"/>
      <c r="C114" s="126">
        <f>'патриотика0,3664'!A156</f>
        <v>0</v>
      </c>
      <c r="D114" s="237" t="s">
        <v>84</v>
      </c>
      <c r="E114" s="255"/>
    </row>
    <row r="115" spans="1:5" ht="12" hidden="1" customHeight="1" x14ac:dyDescent="0.25">
      <c r="A115" s="772"/>
      <c r="B115" s="770"/>
      <c r="C115" s="126">
        <f>'патриотика0,3664'!A157</f>
        <v>0</v>
      </c>
      <c r="D115" s="237" t="s">
        <v>84</v>
      </c>
      <c r="E115" s="255"/>
    </row>
    <row r="116" spans="1:5" ht="12" hidden="1" customHeight="1" x14ac:dyDescent="0.25">
      <c r="A116" s="772"/>
      <c r="B116" s="770"/>
      <c r="C116" s="126">
        <f>'патриотика0,3664'!A158</f>
        <v>0</v>
      </c>
      <c r="D116" s="237" t="s">
        <v>84</v>
      </c>
      <c r="E116" s="255"/>
    </row>
    <row r="117" spans="1:5" ht="26.45" customHeight="1" x14ac:dyDescent="0.25">
      <c r="A117" s="772"/>
      <c r="B117" s="770"/>
      <c r="C117" s="773" t="s">
        <v>135</v>
      </c>
      <c r="D117" s="774"/>
      <c r="E117" s="775"/>
    </row>
    <row r="118" spans="1:5" ht="14.45" customHeight="1" x14ac:dyDescent="0.25">
      <c r="A118" s="772"/>
      <c r="B118" s="770"/>
      <c r="C118" s="773" t="s">
        <v>136</v>
      </c>
      <c r="D118" s="774"/>
      <c r="E118" s="775"/>
    </row>
    <row r="119" spans="1:5" ht="14.45" customHeight="1" x14ac:dyDescent="0.25">
      <c r="A119" s="772"/>
      <c r="B119" s="770"/>
      <c r="C119" s="131" t="str">
        <f>'натур показатели инновации+добр'!C98</f>
        <v>Теплоэнергия</v>
      </c>
      <c r="D119" s="132" t="str">
        <f>'натур показатели инновации+добр'!D98</f>
        <v>Гкал</v>
      </c>
      <c r="E119" s="133">
        <f>'патриотика0,3664'!D198</f>
        <v>20.152000000000001</v>
      </c>
    </row>
    <row r="120" spans="1:5" ht="14.45" customHeight="1" x14ac:dyDescent="0.25">
      <c r="A120" s="772"/>
      <c r="B120" s="770"/>
      <c r="C120" s="131" t="str">
        <f>'натур показатели инновации+добр'!C99</f>
        <v xml:space="preserve">Водоснабжение </v>
      </c>
      <c r="D120" s="132" t="str">
        <f>'натур показатели инновации+добр'!D99</f>
        <v>м2</v>
      </c>
      <c r="E120" s="133">
        <f>'патриотика0,3664'!D199</f>
        <v>38.948320000000002</v>
      </c>
    </row>
    <row r="121" spans="1:5" ht="14.45" customHeight="1" x14ac:dyDescent="0.25">
      <c r="A121" s="772"/>
      <c r="B121" s="770"/>
      <c r="C121" s="131" t="str">
        <f>'натур показатели инновации+добр'!C100</f>
        <v>Водоотведение (септик)</v>
      </c>
      <c r="D121" s="132" t="str">
        <f>'натур показатели инновации+добр'!D100</f>
        <v>м3</v>
      </c>
      <c r="E121" s="133">
        <f>'патриотика0,3664'!D200</f>
        <v>1.0992</v>
      </c>
    </row>
    <row r="122" spans="1:5" ht="14.45" customHeight="1" x14ac:dyDescent="0.25">
      <c r="A122" s="772"/>
      <c r="B122" s="770"/>
      <c r="C122" s="131" t="str">
        <f>'натур показатели инновации+добр'!C101</f>
        <v>Электроэнергия</v>
      </c>
      <c r="D122" s="132" t="str">
        <f>'натур показатели инновации+добр'!D101</f>
        <v>МВт час.</v>
      </c>
      <c r="E122" s="133">
        <f>'патриотика0,3664'!D201</f>
        <v>2.1983999999999999</v>
      </c>
    </row>
    <row r="123" spans="1:5" ht="14.45" customHeight="1" x14ac:dyDescent="0.25">
      <c r="A123" s="772"/>
      <c r="B123" s="770"/>
      <c r="C123" s="131" t="str">
        <f>'натур показатели инновации+добр'!C102</f>
        <v>ТКО</v>
      </c>
      <c r="D123" s="132" t="str">
        <f>'натур показатели инновации+добр'!D102</f>
        <v>договор</v>
      </c>
      <c r="E123" s="133">
        <f>'патриотика0,3664'!D202</f>
        <v>2.9312</v>
      </c>
    </row>
    <row r="124" spans="1:5" ht="14.45" customHeight="1" x14ac:dyDescent="0.25">
      <c r="A124" s="772"/>
      <c r="B124" s="770"/>
      <c r="C124" s="131" t="str">
        <f>'натур показатели инновации+добр'!C103</f>
        <v>Электроэнергия (резерв)</v>
      </c>
      <c r="D124" s="132" t="str">
        <f>'натур показатели инновации+добр'!D103</f>
        <v>МВт час.</v>
      </c>
      <c r="E124" s="133">
        <f>'патриотика0,3664'!D203</f>
        <v>1.8320000000000001</v>
      </c>
    </row>
    <row r="125" spans="1:5" ht="39" customHeight="1" x14ac:dyDescent="0.25">
      <c r="A125" s="772"/>
      <c r="B125" s="770"/>
      <c r="C125" s="782" t="s">
        <v>137</v>
      </c>
      <c r="D125" s="783"/>
      <c r="E125" s="784"/>
    </row>
    <row r="126" spans="1:5" ht="23.25" customHeight="1" x14ac:dyDescent="0.25">
      <c r="A126" s="772"/>
      <c r="B126" s="770"/>
      <c r="C126" s="134" t="str">
        <f>'патриотика0,3664'!A248</f>
        <v xml:space="preserve">Мониторинг систем пожарной сигнализации  </v>
      </c>
      <c r="D126" s="249" t="str">
        <f>'патриотика0,3664'!B248</f>
        <v>договор</v>
      </c>
      <c r="E126" s="249">
        <f>'патриотика0,3664'!D248</f>
        <v>4.3967999999999998</v>
      </c>
    </row>
    <row r="127" spans="1:5" ht="22.5" customHeight="1" x14ac:dyDescent="0.25">
      <c r="A127" s="772"/>
      <c r="B127" s="770"/>
      <c r="C127" s="134" t="str">
        <f>'патриотика0,3664'!A249</f>
        <v xml:space="preserve">Уборка территории от снега </v>
      </c>
      <c r="D127" s="249" t="str">
        <f>'патриотика0,3664'!B249</f>
        <v>договор</v>
      </c>
      <c r="E127" s="249">
        <f>'патриотика0,3664'!D249</f>
        <v>0.73280000000000001</v>
      </c>
    </row>
    <row r="128" spans="1:5" ht="15" customHeight="1" x14ac:dyDescent="0.25">
      <c r="A128" s="772"/>
      <c r="B128" s="770"/>
      <c r="C128" s="134" t="str">
        <f>'патриотика0,3664'!A250</f>
        <v>Профилактическая дезинфекция</v>
      </c>
      <c r="D128" s="249" t="str">
        <f>'патриотика0,3664'!B250</f>
        <v>договор</v>
      </c>
      <c r="E128" s="249">
        <f>'патриотика0,3664'!D250</f>
        <v>0.3664</v>
      </c>
    </row>
    <row r="129" spans="1:5" ht="15" customHeight="1" x14ac:dyDescent="0.25">
      <c r="A129" s="772"/>
      <c r="B129" s="770"/>
      <c r="C129" s="134" t="str">
        <f>'патриотика0,3664'!A251</f>
        <v>Обслуживание системы видеонаблюдения</v>
      </c>
      <c r="D129" s="249" t="str">
        <f>'патриотика0,3664'!B251</f>
        <v>договор</v>
      </c>
      <c r="E129" s="249">
        <f>'патриотика0,3664'!D251</f>
        <v>4.3967999999999998</v>
      </c>
    </row>
    <row r="130" spans="1:5" ht="15" customHeight="1" x14ac:dyDescent="0.25">
      <c r="A130" s="772"/>
      <c r="B130" s="770"/>
      <c r="C130" s="134" t="str">
        <f>'патриотика0,3664'!A252</f>
        <v>Комплексное обслуживание системы тепловодоснабжения и конструктивных элементов здания</v>
      </c>
      <c r="D130" s="249" t="str">
        <f>'патриотика0,3664'!B252</f>
        <v>договор</v>
      </c>
      <c r="E130" s="249">
        <f>'патриотика0,3664'!D252</f>
        <v>0.3664</v>
      </c>
    </row>
    <row r="131" spans="1:5" ht="15" customHeight="1" x14ac:dyDescent="0.25">
      <c r="A131" s="772"/>
      <c r="B131" s="770"/>
      <c r="C131" s="134" t="str">
        <f>'патриотика0,3664'!A253</f>
        <v>Договор осмотр технического состояния автомобиля</v>
      </c>
      <c r="D131" s="249" t="str">
        <f>'патриотика0,3664'!B253</f>
        <v>договор</v>
      </c>
      <c r="E131" s="249">
        <f>'патриотика0,3664'!D253</f>
        <v>76.944000000000003</v>
      </c>
    </row>
    <row r="132" spans="1:5" ht="15" customHeight="1" x14ac:dyDescent="0.25">
      <c r="A132" s="772"/>
      <c r="B132" s="770"/>
      <c r="C132" s="134" t="str">
        <f>'патриотика0,3664'!A254</f>
        <v>Техническое обслуживание систем пожарной сигнализации</v>
      </c>
      <c r="D132" s="249" t="str">
        <f>'патриотика0,3664'!B254</f>
        <v>договор</v>
      </c>
      <c r="E132" s="249">
        <f>'патриотика0,3664'!D254</f>
        <v>4.3967999999999998</v>
      </c>
    </row>
    <row r="133" spans="1:5" ht="15" customHeight="1" x14ac:dyDescent="0.25">
      <c r="A133" s="772"/>
      <c r="B133" s="770"/>
      <c r="C133" s="134" t="str">
        <f>'патриотика0,3664'!A255</f>
        <v>Заправка катриджей</v>
      </c>
      <c r="D133" s="249" t="str">
        <f>'патриотика0,3664'!B255</f>
        <v>договор</v>
      </c>
      <c r="E133" s="249">
        <f>'патриотика0,3664'!D255</f>
        <v>3.6640000000000001</v>
      </c>
    </row>
    <row r="134" spans="1:5" ht="15" customHeight="1" x14ac:dyDescent="0.25">
      <c r="A134" s="772"/>
      <c r="B134" s="770"/>
      <c r="C134" s="134" t="str">
        <f>'патриотика0,3664'!A256</f>
        <v>Возмещение мед осмотра (112/212)</v>
      </c>
      <c r="D134" s="249" t="str">
        <f>'патриотика0,3664'!B256</f>
        <v>договор</v>
      </c>
      <c r="E134" s="249">
        <f>'патриотика0,3664'!D256</f>
        <v>0.73280000000000001</v>
      </c>
    </row>
    <row r="135" spans="1:5" ht="15" customHeight="1" x14ac:dyDescent="0.25">
      <c r="A135" s="772"/>
      <c r="B135" s="770"/>
      <c r="C135" s="134" t="str">
        <f>'патриотика0,3664'!A257</f>
        <v>Услуги СЕМИС подписка</v>
      </c>
      <c r="D135" s="249" t="str">
        <f>'патриотика0,3664'!B257</f>
        <v>договор</v>
      </c>
      <c r="E135" s="249">
        <f>'патриотика0,3664'!D257</f>
        <v>0.3664</v>
      </c>
    </row>
    <row r="136" spans="1:5" ht="15" customHeight="1" x14ac:dyDescent="0.25">
      <c r="A136" s="772"/>
      <c r="B136" s="770"/>
      <c r="C136" s="134" t="str">
        <f>'патриотика0,3664'!A258</f>
        <v>Работы по специальной оценке условий труда</v>
      </c>
      <c r="D136" s="249" t="str">
        <f>'патриотика0,3664'!B258</f>
        <v>договор</v>
      </c>
      <c r="E136" s="249">
        <f>'патриотика0,3664'!D258</f>
        <v>0.3664</v>
      </c>
    </row>
    <row r="137" spans="1:5" ht="15" customHeight="1" x14ac:dyDescent="0.25">
      <c r="A137" s="772"/>
      <c r="B137" s="770"/>
      <c r="C137" s="134" t="str">
        <f>'патриотика0,3664'!A259</f>
        <v>Оценка профессиональных рисков охраны труда</v>
      </c>
      <c r="D137" s="249" t="str">
        <f>'патриотика0,3664'!B259</f>
        <v>договор</v>
      </c>
      <c r="E137" s="249">
        <f>'патриотика0,3664'!D259</f>
        <v>0.3664</v>
      </c>
    </row>
    <row r="138" spans="1:5" ht="15" customHeight="1" x14ac:dyDescent="0.25">
      <c r="A138" s="772"/>
      <c r="B138" s="770"/>
      <c r="C138" s="134" t="str">
        <f>'патриотика0,3664'!A260</f>
        <v>Изготовление площадки на заднем дворе учреждения</v>
      </c>
      <c r="D138" s="249" t="str">
        <f>'патриотика0,3664'!B260</f>
        <v>договор</v>
      </c>
      <c r="E138" s="249">
        <f>'патриотика0,3664'!D260</f>
        <v>0.3664</v>
      </c>
    </row>
    <row r="139" spans="1:5" ht="24.75" customHeight="1" x14ac:dyDescent="0.25">
      <c r="A139" s="772"/>
      <c r="B139" s="770"/>
      <c r="C139" s="134" t="str">
        <f>'патриотика0,3664'!A261</f>
        <v>Предрейсовое медицинское обследование 200дней*85руб</v>
      </c>
      <c r="D139" s="249" t="str">
        <f>'патриотика0,3664'!B261</f>
        <v>договор</v>
      </c>
      <c r="E139" s="249">
        <f>'патриотика0,3664'!D261</f>
        <v>153.88800000000001</v>
      </c>
    </row>
    <row r="140" spans="1:5" ht="29.25" customHeight="1" x14ac:dyDescent="0.25">
      <c r="A140" s="772"/>
      <c r="B140" s="770"/>
      <c r="C140" s="134" t="str">
        <f>'патриотика0,3664'!A262</f>
        <v xml:space="preserve">Услуги охраны  </v>
      </c>
      <c r="D140" s="249" t="str">
        <f>'патриотика0,3664'!B273</f>
        <v>договор</v>
      </c>
      <c r="E140" s="249">
        <f>'патриотика0,3664'!D262</f>
        <v>4.3967999999999998</v>
      </c>
    </row>
    <row r="141" spans="1:5" ht="15" customHeight="1" x14ac:dyDescent="0.25">
      <c r="A141" s="772"/>
      <c r="B141" s="770"/>
      <c r="C141" s="134" t="str">
        <f>'патриотика0,3664'!A263</f>
        <v>Обслуживание систем охранных средств сигнализации (тревожная кнопка)</v>
      </c>
      <c r="D141" s="249" t="str">
        <f>'патриотика0,3664'!B274</f>
        <v>договор</v>
      </c>
      <c r="E141" s="249">
        <f>'патриотика0,3664'!D263</f>
        <v>4.3967999999999998</v>
      </c>
    </row>
    <row r="142" spans="1:5" ht="15" customHeight="1" x14ac:dyDescent="0.25">
      <c r="A142" s="772"/>
      <c r="B142" s="770"/>
      <c r="C142" s="134" t="str">
        <f>'патриотика0,3664'!A264</f>
        <v>Медосмотр при устройстве на работу</v>
      </c>
      <c r="D142" s="249" t="str">
        <f>'патриотика0,3664'!B275</f>
        <v>договор</v>
      </c>
      <c r="E142" s="249">
        <f>'патриотика0,3664'!D264</f>
        <v>1.4656</v>
      </c>
    </row>
    <row r="143" spans="1:5" ht="15" customHeight="1" x14ac:dyDescent="0.25">
      <c r="A143" s="772"/>
      <c r="B143" s="770"/>
      <c r="C143" s="134" t="str">
        <f>'патриотика0,3664'!A265</f>
        <v>Страховая премия по полису ОСАГО за УАЗ</v>
      </c>
      <c r="D143" s="249" t="str">
        <f>'патриотика0,3664'!B276</f>
        <v>договор</v>
      </c>
      <c r="E143" s="249">
        <f>'патриотика0,3664'!D265</f>
        <v>0.3664</v>
      </c>
    </row>
    <row r="144" spans="1:5" ht="28.5" customHeight="1" x14ac:dyDescent="0.25">
      <c r="A144" s="772"/>
      <c r="B144" s="770"/>
      <c r="C144" s="134" t="str">
        <f>'патриотика0,3664'!A266</f>
        <v>Диагностика бытовой и оргтехники для определения возможности ее дальнейшего использования (244/226)</v>
      </c>
      <c r="D144" s="249" t="str">
        <f>'патриотика0,3664'!B277</f>
        <v>договор</v>
      </c>
      <c r="E144" s="249">
        <f>'патриотика0,3664'!D266</f>
        <v>0.3664</v>
      </c>
    </row>
    <row r="145" spans="1:5" ht="15" customHeight="1" x14ac:dyDescent="0.25">
      <c r="A145" s="772"/>
      <c r="B145" s="770"/>
      <c r="C145" s="134" t="str">
        <f>'патриотика0,3664'!A267</f>
        <v>Изготовление снежных фигур</v>
      </c>
      <c r="D145" s="249" t="str">
        <f>'патриотика0,3664'!B278</f>
        <v>договор</v>
      </c>
      <c r="E145" s="249">
        <f>'патриотика0,3664'!D267</f>
        <v>0.3664</v>
      </c>
    </row>
    <row r="146" spans="1:5" ht="15" customHeight="1" x14ac:dyDescent="0.25">
      <c r="A146" s="772"/>
      <c r="B146" s="770"/>
      <c r="C146" s="134" t="str">
        <f>'патриотика0,3664'!A268</f>
        <v>Приобретение программного обеспечения</v>
      </c>
      <c r="D146" s="249" t="str">
        <f>'патриотика0,3664'!B279</f>
        <v>договор</v>
      </c>
      <c r="E146" s="249">
        <f>'патриотика0,3664'!D268</f>
        <v>0.73280000000000001</v>
      </c>
    </row>
    <row r="147" spans="1:5" ht="15" hidden="1" customHeight="1" x14ac:dyDescent="0.25">
      <c r="A147" s="772"/>
      <c r="B147" s="770"/>
      <c r="C147" s="134" t="str">
        <f>'патриотика0,3664'!A269</f>
        <v>Оплата пени, штрафов (853/291)</v>
      </c>
      <c r="D147" s="249" t="str">
        <f>'патриотика0,3664'!B280</f>
        <v>договор</v>
      </c>
      <c r="E147" s="249">
        <f>'патриотика0,3664'!D269</f>
        <v>1.8320000000000001</v>
      </c>
    </row>
    <row r="148" spans="1:5" ht="15" hidden="1" customHeight="1" x14ac:dyDescent="0.25">
      <c r="A148" s="772"/>
      <c r="B148" s="770"/>
      <c r="C148" s="134">
        <f>'патриотика0,3664'!A270</f>
        <v>0</v>
      </c>
      <c r="D148" s="249" t="str">
        <f>D147</f>
        <v>договор</v>
      </c>
      <c r="E148" s="249">
        <f>'патриотика0,3664'!D270</f>
        <v>76.944000000000003</v>
      </c>
    </row>
    <row r="149" spans="1:5" ht="15" hidden="1" customHeight="1" x14ac:dyDescent="0.25">
      <c r="A149" s="772"/>
      <c r="B149" s="770"/>
      <c r="C149" s="134">
        <f>'патриотика0,3664'!A271</f>
        <v>0</v>
      </c>
      <c r="D149" s="249" t="str">
        <f>D147</f>
        <v>договор</v>
      </c>
      <c r="E149" s="249">
        <f>'патриотика0,3664'!D271</f>
        <v>76.944000000000003</v>
      </c>
    </row>
    <row r="150" spans="1:5" ht="15" hidden="1" customHeight="1" x14ac:dyDescent="0.25">
      <c r="A150" s="772"/>
      <c r="B150" s="770"/>
      <c r="C150" s="134">
        <f>'патриотика0,3664'!A272</f>
        <v>0</v>
      </c>
      <c r="D150" s="249" t="str">
        <f>D147</f>
        <v>договор</v>
      </c>
      <c r="E150" s="249">
        <f>'патриотика0,3664'!D272</f>
        <v>76.944000000000003</v>
      </c>
    </row>
    <row r="151" spans="1:5" ht="15" hidden="1" customHeight="1" x14ac:dyDescent="0.25">
      <c r="A151" s="772"/>
      <c r="B151" s="770"/>
      <c r="C151" s="134">
        <f>'патриотика0,3664'!A273</f>
        <v>0</v>
      </c>
      <c r="D151" s="249" t="str">
        <f>D147</f>
        <v>договор</v>
      </c>
      <c r="E151" s="249">
        <f>'патриотика0,3664'!D273</f>
        <v>76.944000000000003</v>
      </c>
    </row>
    <row r="152" spans="1:5" ht="15" hidden="1" customHeight="1" x14ac:dyDescent="0.25">
      <c r="A152" s="772"/>
      <c r="B152" s="770"/>
      <c r="C152" s="134">
        <f>'патриотика0,3664'!A274</f>
        <v>0</v>
      </c>
      <c r="D152" s="249" t="str">
        <f>D147</f>
        <v>договор</v>
      </c>
      <c r="E152" s="249">
        <f>'патриотика0,3664'!D274</f>
        <v>76.944000000000003</v>
      </c>
    </row>
    <row r="153" spans="1:5" ht="15" hidden="1" customHeight="1" x14ac:dyDescent="0.25">
      <c r="A153" s="772"/>
      <c r="B153" s="770"/>
      <c r="C153" s="134">
        <f>'патриотика0,3664'!A275</f>
        <v>0</v>
      </c>
      <c r="D153" s="249" t="str">
        <f>D147</f>
        <v>договор</v>
      </c>
      <c r="E153" s="249">
        <f>'патриотика0,3664'!D275</f>
        <v>76.944000000000003</v>
      </c>
    </row>
    <row r="154" spans="1:5" ht="15" hidden="1" customHeight="1" x14ac:dyDescent="0.25">
      <c r="A154" s="772"/>
      <c r="B154" s="770"/>
      <c r="C154" s="134">
        <f>'патриотика0,3664'!A276</f>
        <v>0</v>
      </c>
      <c r="D154" s="249" t="str">
        <f>'патриотика0,3664'!B289</f>
        <v>шт</v>
      </c>
      <c r="E154" s="249">
        <f>'патриотика0,3664'!D276</f>
        <v>76.944000000000003</v>
      </c>
    </row>
    <row r="155" spans="1:5" ht="15" hidden="1" customHeight="1" x14ac:dyDescent="0.25">
      <c r="A155" s="772"/>
      <c r="B155" s="770"/>
      <c r="C155" s="134">
        <f>'патриотика0,3664'!A277</f>
        <v>0</v>
      </c>
      <c r="D155" s="249" t="str">
        <f>'патриотика0,3664'!B291</f>
        <v>шт</v>
      </c>
      <c r="E155" s="249">
        <f>'патриотика0,3664'!D277</f>
        <v>76.944000000000003</v>
      </c>
    </row>
    <row r="156" spans="1:5" ht="15" hidden="1" customHeight="1" x14ac:dyDescent="0.25">
      <c r="A156" s="772"/>
      <c r="B156" s="770"/>
      <c r="C156" s="134">
        <f>'патриотика0,3664'!A278</f>
        <v>0</v>
      </c>
      <c r="D156" s="249" t="str">
        <f>'патриотика0,3664'!B293</f>
        <v>шт</v>
      </c>
      <c r="E156" s="249">
        <f>'патриотика0,3664'!D278</f>
        <v>76.944000000000003</v>
      </c>
    </row>
    <row r="157" spans="1:5" ht="15" hidden="1" customHeight="1" x14ac:dyDescent="0.25">
      <c r="A157" s="772"/>
      <c r="B157" s="770"/>
      <c r="C157" s="134">
        <f>'патриотика0,3664'!A279</f>
        <v>0</v>
      </c>
      <c r="D157" s="249" t="str">
        <f>'патриотика0,3664'!B294</f>
        <v>шт</v>
      </c>
      <c r="E157" s="249">
        <f>'патриотика0,3664'!D279</f>
        <v>76.944000000000003</v>
      </c>
    </row>
    <row r="158" spans="1:5" ht="15" hidden="1" customHeight="1" x14ac:dyDescent="0.25">
      <c r="A158" s="772"/>
      <c r="B158" s="770"/>
      <c r="C158" s="134">
        <f>'патриотика0,3664'!A280</f>
        <v>0</v>
      </c>
      <c r="D158" s="249" t="str">
        <f>'патриотика0,3664'!B295</f>
        <v>шт</v>
      </c>
      <c r="E158" s="249">
        <f>'патриотика0,3664'!D280</f>
        <v>76.944000000000003</v>
      </c>
    </row>
    <row r="159" spans="1:5" ht="12" customHeight="1" x14ac:dyDescent="0.25">
      <c r="A159" s="772"/>
      <c r="B159" s="770"/>
      <c r="C159" s="779" t="s">
        <v>138</v>
      </c>
      <c r="D159" s="780"/>
      <c r="E159" s="781"/>
    </row>
    <row r="160" spans="1:5" ht="14.45" customHeight="1" x14ac:dyDescent="0.25">
      <c r="A160" s="772"/>
      <c r="B160" s="770"/>
      <c r="C160" s="135" t="str">
        <f>'инновации+добровольчество0,3664'!A210</f>
        <v>переговоры по району, мин</v>
      </c>
      <c r="D160" s="98" t="s">
        <v>86</v>
      </c>
      <c r="E160" s="226">
        <f>'патриотика0,3664'!D229</f>
        <v>0</v>
      </c>
    </row>
    <row r="161" spans="1:5" ht="12" customHeight="1" x14ac:dyDescent="0.25">
      <c r="A161" s="772"/>
      <c r="B161" s="770"/>
      <c r="C161" s="135" t="str">
        <f>'инновации+добровольчество0,3664'!A211</f>
        <v>Переговоры за пределами района,мин</v>
      </c>
      <c r="D161" s="98" t="s">
        <v>22</v>
      </c>
      <c r="E161" s="226">
        <f>'патриотика0,3664'!D230</f>
        <v>13.74</v>
      </c>
    </row>
    <row r="162" spans="1:5" ht="12" customHeight="1" x14ac:dyDescent="0.25">
      <c r="A162" s="772"/>
      <c r="B162" s="770"/>
      <c r="C162" s="135" t="str">
        <f>'инновации+добровольчество0,3664'!A212</f>
        <v>Абоненская плата за услуги связи, номеров</v>
      </c>
      <c r="D162" s="98" t="s">
        <v>37</v>
      </c>
      <c r="E162" s="226">
        <f>'патриотика0,3664'!D231</f>
        <v>0.3664</v>
      </c>
    </row>
    <row r="163" spans="1:5" ht="12" customHeight="1" x14ac:dyDescent="0.25">
      <c r="A163" s="772"/>
      <c r="B163" s="770"/>
      <c r="C163" s="135" t="str">
        <f>'инновации+добровольчество0,3664'!A213</f>
        <v xml:space="preserve">Абоненская плата за услуги Интернет </v>
      </c>
      <c r="D163" s="98" t="s">
        <v>37</v>
      </c>
      <c r="E163" s="226">
        <f>'патриотика0,3664'!D232</f>
        <v>0.3664</v>
      </c>
    </row>
    <row r="164" spans="1:5" ht="12" customHeight="1" x14ac:dyDescent="0.25">
      <c r="A164" s="772"/>
      <c r="B164" s="770"/>
      <c r="C164" s="135" t="str">
        <f>'инновации+добровольчество0,3664'!A214</f>
        <v>Почтовые конверты</v>
      </c>
      <c r="D164" s="98" t="s">
        <v>38</v>
      </c>
      <c r="E164" s="226">
        <f>'патриотика0,3664'!D233</f>
        <v>0.3664</v>
      </c>
    </row>
    <row r="165" spans="1:5" ht="12" hidden="1" customHeight="1" x14ac:dyDescent="0.25">
      <c r="A165" s="772"/>
      <c r="B165" s="770"/>
      <c r="C165" s="135" t="e">
        <f>'инновации+добровольчество0,3664'!#REF!</f>
        <v>#REF!</v>
      </c>
      <c r="D165" s="98" t="s">
        <v>38</v>
      </c>
      <c r="E165" s="226" t="e">
        <f>'патриотика0,3664'!#REF!</f>
        <v>#REF!</v>
      </c>
    </row>
    <row r="166" spans="1:5" ht="12" hidden="1" customHeight="1" x14ac:dyDescent="0.25">
      <c r="A166" s="772"/>
      <c r="B166" s="770"/>
      <c r="C166" s="135" t="e">
        <f>'инновации+добровольчество0,3664'!#REF!</f>
        <v>#REF!</v>
      </c>
      <c r="D166" s="98" t="s">
        <v>22</v>
      </c>
      <c r="E166" s="226" t="e">
        <f>'патриотика0,3664'!#REF!</f>
        <v>#REF!</v>
      </c>
    </row>
    <row r="167" spans="1:5" ht="22.5" customHeight="1" x14ac:dyDescent="0.25">
      <c r="A167" s="772"/>
      <c r="B167" s="770"/>
      <c r="C167" s="785" t="s">
        <v>139</v>
      </c>
      <c r="D167" s="786"/>
      <c r="E167" s="787"/>
    </row>
    <row r="168" spans="1:5" ht="21" customHeight="1" x14ac:dyDescent="0.25">
      <c r="A168" s="772"/>
      <c r="B168" s="770"/>
      <c r="C168" s="107" t="str">
        <f>'натур показатели инновации+добр'!C147</f>
        <v>Заведующий МЦ</v>
      </c>
      <c r="D168" s="136" t="s">
        <v>143</v>
      </c>
      <c r="E168" s="216">
        <f>'патриотика0,3664'!D166</f>
        <v>0.3664</v>
      </c>
    </row>
    <row r="169" spans="1:5" ht="12" customHeight="1" x14ac:dyDescent="0.25">
      <c r="A169" s="772"/>
      <c r="B169" s="770"/>
      <c r="C169" s="116" t="s">
        <v>141</v>
      </c>
      <c r="D169" s="136" t="s">
        <v>134</v>
      </c>
      <c r="E169" s="355">
        <f>'патриотика0,3664'!D167</f>
        <v>0.3664</v>
      </c>
    </row>
    <row r="170" spans="1:5" ht="12" customHeight="1" x14ac:dyDescent="0.25">
      <c r="A170" s="772"/>
      <c r="B170" s="770"/>
      <c r="C170" s="116" t="s">
        <v>87</v>
      </c>
      <c r="D170" s="136" t="s">
        <v>134</v>
      </c>
      <c r="E170" s="355">
        <f>'патриотика0,3664'!D168</f>
        <v>0.1832</v>
      </c>
    </row>
    <row r="171" spans="1:5" ht="12" customHeight="1" x14ac:dyDescent="0.25">
      <c r="A171" s="772"/>
      <c r="B171" s="770"/>
      <c r="C171" s="116" t="s">
        <v>142</v>
      </c>
      <c r="D171" s="136" t="s">
        <v>134</v>
      </c>
      <c r="E171" s="355">
        <f>'патриотика0,3664'!D169</f>
        <v>0.3664</v>
      </c>
    </row>
    <row r="172" spans="1:5" ht="12" customHeight="1" x14ac:dyDescent="0.25">
      <c r="A172" s="772"/>
      <c r="B172" s="770"/>
      <c r="C172" s="788" t="s">
        <v>146</v>
      </c>
      <c r="D172" s="789"/>
      <c r="E172" s="790"/>
    </row>
    <row r="173" spans="1:5" ht="28.15" customHeight="1" x14ac:dyDescent="0.25">
      <c r="A173" s="772"/>
      <c r="B173" s="770"/>
      <c r="C173" s="436" t="str">
        <f>'инновации+добровольчество0,3664'!A180</f>
        <v>Пособие по уходу за ребенком до 3-х лет</v>
      </c>
      <c r="D173" s="118" t="s">
        <v>122</v>
      </c>
      <c r="E173" s="227">
        <f>E168</f>
        <v>0.3664</v>
      </c>
    </row>
    <row r="174" spans="1:5" ht="25.9" hidden="1" customHeight="1" x14ac:dyDescent="0.25">
      <c r="A174" s="772"/>
      <c r="B174" s="770"/>
      <c r="C174" s="785" t="s">
        <v>147</v>
      </c>
      <c r="D174" s="786"/>
      <c r="E174" s="787"/>
    </row>
    <row r="175" spans="1:5" ht="40.15" hidden="1" customHeight="1" x14ac:dyDescent="0.25">
      <c r="A175" s="772"/>
      <c r="B175" s="770"/>
      <c r="C175" s="117" t="s">
        <v>196</v>
      </c>
      <c r="D175" s="98" t="s">
        <v>39</v>
      </c>
      <c r="E175" s="224">
        <f>'патриотика0,3664'!E220</f>
        <v>31.143999999999998</v>
      </c>
    </row>
    <row r="176" spans="1:5" ht="25.9" hidden="1" customHeight="1" x14ac:dyDescent="0.25">
      <c r="A176" s="772"/>
      <c r="B176" s="770"/>
      <c r="C176" s="117" t="s">
        <v>197</v>
      </c>
      <c r="D176" s="98" t="s">
        <v>39</v>
      </c>
      <c r="E176" s="224">
        <f>'патриотика0,3664'!E221</f>
        <v>12.457599999999999</v>
      </c>
    </row>
    <row r="177" spans="1:5" ht="24" hidden="1" customHeight="1" x14ac:dyDescent="0.25">
      <c r="A177" s="772"/>
      <c r="B177" s="770"/>
      <c r="C177" s="117" t="s">
        <v>198</v>
      </c>
      <c r="D177" s="98" t="s">
        <v>39</v>
      </c>
      <c r="E177" s="224">
        <f>'патриотика0,3664'!E222</f>
        <v>18.686399999999999</v>
      </c>
    </row>
    <row r="178" spans="1:5" ht="21" customHeight="1" x14ac:dyDescent="0.25">
      <c r="A178" s="772"/>
      <c r="B178" s="770"/>
      <c r="C178" s="776" t="s">
        <v>148</v>
      </c>
      <c r="D178" s="777"/>
      <c r="E178" s="778"/>
    </row>
    <row r="179" spans="1:5" ht="18.600000000000001" customHeight="1" x14ac:dyDescent="0.25">
      <c r="A179" s="772"/>
      <c r="B179" s="770"/>
      <c r="C179" s="119" t="str">
        <f>'инновации+добровольчество0,3664'!A222</f>
        <v>Провоз груза 2000 кг (1 кг=9,50 руб)</v>
      </c>
      <c r="D179" s="120" t="s">
        <v>22</v>
      </c>
      <c r="E179" s="83">
        <f>'патриотика0,3664'!D241</f>
        <v>0.3664</v>
      </c>
    </row>
    <row r="180" spans="1:5" ht="12" customHeight="1" x14ac:dyDescent="0.25">
      <c r="A180" s="772"/>
      <c r="B180" s="770"/>
      <c r="C180" s="779" t="s">
        <v>149</v>
      </c>
      <c r="D180" s="780"/>
      <c r="E180" s="781"/>
    </row>
    <row r="181" spans="1:5" ht="14.45" customHeight="1" x14ac:dyDescent="0.25">
      <c r="A181" s="772"/>
      <c r="B181" s="770"/>
      <c r="C181" s="108" t="str">
        <f>'натур показатели инновации+добр'!C163</f>
        <v>Пиломатериал</v>
      </c>
      <c r="D181" s="67" t="str">
        <f>'натур показатели инновации+добр'!D163</f>
        <v>шт</v>
      </c>
      <c r="E181" s="163">
        <f>'патриотика0,3664'!D289</f>
        <v>2.5648</v>
      </c>
    </row>
    <row r="182" spans="1:5" ht="14.45" customHeight="1" x14ac:dyDescent="0.25">
      <c r="A182" s="772"/>
      <c r="B182" s="770"/>
      <c r="C182" s="108" t="str">
        <f>'натур показатели инновации+добр'!C164</f>
        <v>Тонеры для картриджей Kyocera</v>
      </c>
      <c r="D182" s="67" t="str">
        <f>'натур показатели инновации+добр'!D164</f>
        <v>шт</v>
      </c>
      <c r="E182" s="163">
        <f>'патриотика0,3664'!D290</f>
        <v>1.8320000000000001</v>
      </c>
    </row>
    <row r="183" spans="1:5" ht="15" customHeight="1" x14ac:dyDescent="0.25">
      <c r="A183" s="772"/>
      <c r="B183" s="770"/>
      <c r="C183" s="108" t="str">
        <f>'натур показатели инновации+добр'!C165</f>
        <v>Комплект тонеров для цветного принтера Canon</v>
      </c>
      <c r="D183" s="67" t="str">
        <f>'натур показатели инновации+добр'!D165</f>
        <v>шт</v>
      </c>
      <c r="E183" s="163">
        <f>'патриотика0,3664'!D291</f>
        <v>1.8320000000000001</v>
      </c>
    </row>
    <row r="184" spans="1:5" ht="16.5" customHeight="1" x14ac:dyDescent="0.25">
      <c r="A184" s="772"/>
      <c r="B184" s="770"/>
      <c r="C184" s="108" t="str">
        <f>'натур показатели инновации+добр'!C166</f>
        <v>Комплект тонера для цветного принтера Hp</v>
      </c>
      <c r="D184" s="67" t="str">
        <f>'натур показатели инновации+добр'!D166</f>
        <v>шт</v>
      </c>
      <c r="E184" s="163">
        <f>'патриотика0,3664'!D292</f>
        <v>0.73280000000000001</v>
      </c>
    </row>
    <row r="185" spans="1:5" ht="12" customHeight="1" x14ac:dyDescent="0.25">
      <c r="A185" s="772"/>
      <c r="B185" s="770"/>
      <c r="C185" s="108" t="str">
        <f>'натур показатели инновации+добр'!C167</f>
        <v>Флеш накопители  16 гб</v>
      </c>
      <c r="D185" s="67" t="str">
        <f>'натур показатели инновации+добр'!D167</f>
        <v>шт</v>
      </c>
      <c r="E185" s="163">
        <f>'патриотика0,3664'!D293</f>
        <v>2.5648</v>
      </c>
    </row>
    <row r="186" spans="1:5" ht="12" customHeight="1" x14ac:dyDescent="0.25">
      <c r="A186" s="772"/>
      <c r="B186" s="770"/>
      <c r="C186" s="108" t="str">
        <f>'натур показатели инновации+добр'!C168</f>
        <v>Флеш накопители  64 гб</v>
      </c>
      <c r="D186" s="67" t="str">
        <f>'натур показатели инновации+добр'!D168</f>
        <v>шт</v>
      </c>
      <c r="E186" s="163">
        <f>'патриотика0,3664'!D294</f>
        <v>1.8320000000000001</v>
      </c>
    </row>
    <row r="187" spans="1:5" ht="12" customHeight="1" x14ac:dyDescent="0.25">
      <c r="A187" s="772"/>
      <c r="B187" s="770"/>
      <c r="C187" s="108" t="str">
        <f>'натур показатели инновации+добр'!C169</f>
        <v>Мышь USB</v>
      </c>
      <c r="D187" s="67" t="str">
        <f>'натур показатели инновации+добр'!D169</f>
        <v>шт</v>
      </c>
      <c r="E187" s="163">
        <f>'патриотика0,3664'!D295</f>
        <v>1.4656</v>
      </c>
    </row>
    <row r="188" spans="1:5" ht="12" customHeight="1" x14ac:dyDescent="0.25">
      <c r="A188" s="772"/>
      <c r="B188" s="770"/>
      <c r="C188" s="108" t="str">
        <f>'натур показатели инновации+добр'!C170</f>
        <v xml:space="preserve">Мешки для мусора </v>
      </c>
      <c r="D188" s="67" t="str">
        <f>'натур показатели инновации+добр'!D170</f>
        <v>шт</v>
      </c>
      <c r="E188" s="163">
        <f>'патриотика0,3664'!D296</f>
        <v>36.64</v>
      </c>
    </row>
    <row r="189" spans="1:5" ht="12" customHeight="1" x14ac:dyDescent="0.25">
      <c r="A189" s="772"/>
      <c r="B189" s="770"/>
      <c r="C189" s="108" t="str">
        <f>'натур показатели инновации+добр'!C171</f>
        <v>Жидкое мыло</v>
      </c>
      <c r="D189" s="67" t="str">
        <f>'натур показатели инновации+добр'!D171</f>
        <v>шт</v>
      </c>
      <c r="E189" s="163">
        <f>'патриотика0,3664'!D297</f>
        <v>5.4960000000000004</v>
      </c>
    </row>
    <row r="190" spans="1:5" ht="22.15" customHeight="1" x14ac:dyDescent="0.25">
      <c r="A190" s="772"/>
      <c r="B190" s="770"/>
      <c r="C190" s="108" t="str">
        <f>'натур показатели инновации+добр'!C172</f>
        <v>Туалетная бумага</v>
      </c>
      <c r="D190" s="67" t="str">
        <f>'натур показатели инновации+добр'!D172</f>
        <v>шт</v>
      </c>
      <c r="E190" s="163">
        <f>'патриотика0,3664'!D298</f>
        <v>36.64</v>
      </c>
    </row>
    <row r="191" spans="1:5" ht="12" customHeight="1" x14ac:dyDescent="0.25">
      <c r="A191" s="772"/>
      <c r="B191" s="770"/>
      <c r="C191" s="108" t="str">
        <f>'натур показатели инновации+добр'!C173</f>
        <v>Тряпки для мытья</v>
      </c>
      <c r="D191" s="67" t="str">
        <f>'натур показатели инновации+добр'!D173</f>
        <v>шт</v>
      </c>
      <c r="E191" s="163">
        <f>'патриотика0,3664'!D299</f>
        <v>14.656000000000001</v>
      </c>
    </row>
    <row r="192" spans="1:5" ht="22.15" customHeight="1" x14ac:dyDescent="0.25">
      <c r="A192" s="772"/>
      <c r="B192" s="770"/>
      <c r="C192" s="108" t="str">
        <f>'натур показатели инновации+добр'!C174</f>
        <v>Бытовая химия</v>
      </c>
      <c r="D192" s="67" t="str">
        <f>'натур показатели инновации+добр'!D174</f>
        <v>шт</v>
      </c>
      <c r="E192" s="163">
        <f>'патриотика0,3664'!D300</f>
        <v>7.3280000000000003</v>
      </c>
    </row>
    <row r="193" spans="1:5" ht="15.75" customHeight="1" x14ac:dyDescent="0.25">
      <c r="A193" s="772"/>
      <c r="B193" s="770"/>
      <c r="C193" s="108" t="str">
        <f>'натур показатели инновации+добр'!C175</f>
        <v>Фанера</v>
      </c>
      <c r="D193" s="67" t="str">
        <f>'натур показатели инновации+добр'!D175</f>
        <v>шт</v>
      </c>
      <c r="E193" s="163">
        <f>'патриотика0,3664'!D301</f>
        <v>10.992000000000001</v>
      </c>
    </row>
    <row r="194" spans="1:5" ht="13.5" customHeight="1" x14ac:dyDescent="0.25">
      <c r="A194" s="772"/>
      <c r="B194" s="770"/>
      <c r="C194" s="108" t="str">
        <f>'натур показатели инновации+добр'!C176</f>
        <v>Антифриз</v>
      </c>
      <c r="D194" s="67" t="str">
        <f>'натур показатели инновации+добр'!D176</f>
        <v>шт</v>
      </c>
      <c r="E194" s="163">
        <f>'патриотика0,3664'!D302</f>
        <v>7.3280000000000003</v>
      </c>
    </row>
    <row r="195" spans="1:5" ht="12" customHeight="1" x14ac:dyDescent="0.25">
      <c r="A195" s="772"/>
      <c r="B195" s="770"/>
      <c r="C195" s="108" t="str">
        <f>'натур показатели инновации+добр'!C177</f>
        <v>Баннера</v>
      </c>
      <c r="D195" s="67" t="str">
        <f>'натур показатели инновации+добр'!D177</f>
        <v>шт</v>
      </c>
      <c r="E195" s="163">
        <f>'патриотика0,3664'!D303</f>
        <v>1.8320000000000001</v>
      </c>
    </row>
    <row r="196" spans="1:5" ht="12" customHeight="1" x14ac:dyDescent="0.25">
      <c r="A196" s="772"/>
      <c r="B196" s="770"/>
      <c r="C196" s="108" t="str">
        <f>'натур показатели инновации+добр'!C178</f>
        <v>Гвозди</v>
      </c>
      <c r="D196" s="67" t="str">
        <f>'натур показатели инновации+добр'!D178</f>
        <v>шт</v>
      </c>
      <c r="E196" s="163">
        <f>'патриотика0,3664'!D304</f>
        <v>7.3280000000000003</v>
      </c>
    </row>
    <row r="197" spans="1:5" ht="12" customHeight="1" x14ac:dyDescent="0.25">
      <c r="A197" s="772"/>
      <c r="B197" s="770"/>
      <c r="C197" s="108" t="str">
        <f>'натур показатели инновации+добр'!C179</f>
        <v>Саморезы</v>
      </c>
      <c r="D197" s="67" t="str">
        <f>'натур показатели инновации+добр'!D179</f>
        <v>шт</v>
      </c>
      <c r="E197" s="163">
        <f>'патриотика0,3664'!D305</f>
        <v>18.32</v>
      </c>
    </row>
    <row r="198" spans="1:5" ht="12" customHeight="1" x14ac:dyDescent="0.25">
      <c r="A198" s="772"/>
      <c r="B198" s="770"/>
      <c r="C198" s="108" t="str">
        <f>'натур показатели инновации+добр'!C180</f>
        <v>Инструмент металлический ручной</v>
      </c>
      <c r="D198" s="67" t="str">
        <f>'натур показатели инновации+добр'!D180</f>
        <v>шт</v>
      </c>
      <c r="E198" s="163">
        <f>'патриотика0,3664'!D306</f>
        <v>1.8320000000000001</v>
      </c>
    </row>
    <row r="199" spans="1:5" ht="12" customHeight="1" x14ac:dyDescent="0.25">
      <c r="A199" s="772"/>
      <c r="B199" s="770"/>
      <c r="C199" s="108" t="str">
        <f>'натур показатели инновации+добр'!C181</f>
        <v>Краска эмаль</v>
      </c>
      <c r="D199" s="67" t="str">
        <f>'натур показатели инновации+добр'!D181</f>
        <v>шт</v>
      </c>
      <c r="E199" s="163">
        <f>'патриотика0,3664'!D307</f>
        <v>10.992000000000001</v>
      </c>
    </row>
    <row r="200" spans="1:5" ht="12" customHeight="1" x14ac:dyDescent="0.25">
      <c r="A200" s="772"/>
      <c r="B200" s="770"/>
      <c r="C200" s="108" t="str">
        <f>'натур показатели инновации+добр'!C182</f>
        <v>Краска ВДН</v>
      </c>
      <c r="D200" s="67" t="str">
        <f>'натур показатели инновации+добр'!D182</f>
        <v>шт</v>
      </c>
      <c r="E200" s="163">
        <f>'патриотика0,3664'!D308</f>
        <v>3.6640000000000001</v>
      </c>
    </row>
    <row r="201" spans="1:5" ht="12" customHeight="1" x14ac:dyDescent="0.25">
      <c r="A201" s="772"/>
      <c r="B201" s="770"/>
      <c r="C201" s="108" t="str">
        <f>'натур показатели инновации+добр'!C183</f>
        <v>Кисти</v>
      </c>
      <c r="D201" s="67" t="str">
        <f>'натур показатели инновации+добр'!D183</f>
        <v>шт</v>
      </c>
      <c r="E201" s="163">
        <f>'патриотика0,3664'!D309</f>
        <v>14.656000000000001</v>
      </c>
    </row>
    <row r="202" spans="1:5" ht="12" customHeight="1" x14ac:dyDescent="0.25">
      <c r="A202" s="772"/>
      <c r="B202" s="770"/>
      <c r="C202" s="108" t="str">
        <f>'натур показатели инновации+добр'!C184</f>
        <v>Перчатка пвх</v>
      </c>
      <c r="D202" s="67" t="str">
        <f>'натур показатели инновации+добр'!D184</f>
        <v>шт</v>
      </c>
      <c r="E202" s="163">
        <f>'патриотика0,3664'!D310</f>
        <v>36.64</v>
      </c>
    </row>
    <row r="203" spans="1:5" ht="12" customHeight="1" x14ac:dyDescent="0.25">
      <c r="A203" s="772"/>
      <c r="B203" s="770"/>
      <c r="C203" s="108" t="str">
        <f>'натур показатели инновации+добр'!C185</f>
        <v>краска кудо</v>
      </c>
      <c r="D203" s="67" t="str">
        <f>'натур показатели инновации+добр'!D185</f>
        <v>шт</v>
      </c>
      <c r="E203" s="163">
        <f>'патриотика0,3664'!D311</f>
        <v>10.992000000000001</v>
      </c>
    </row>
    <row r="204" spans="1:5" ht="12" customHeight="1" x14ac:dyDescent="0.25">
      <c r="A204" s="772"/>
      <c r="B204" s="770"/>
      <c r="C204" s="108" t="str">
        <f>'натур показатели инновации+добр'!C186</f>
        <v>Валик+ванночка</v>
      </c>
      <c r="D204" s="67" t="str">
        <f>'натур показатели инновации+добр'!D186</f>
        <v>шт</v>
      </c>
      <c r="E204" s="163">
        <f>'патриотика0,3664'!D312</f>
        <v>3.6640000000000001</v>
      </c>
    </row>
    <row r="205" spans="1:5" ht="12" customHeight="1" x14ac:dyDescent="0.25">
      <c r="A205" s="772"/>
      <c r="B205" s="770"/>
      <c r="C205" s="108" t="str">
        <f>'натур показатели инновации+добр'!C187</f>
        <v>Ножницыы</v>
      </c>
      <c r="D205" s="67" t="str">
        <f>'натур показатели инновации+добр'!D187</f>
        <v>шт</v>
      </c>
      <c r="E205" s="163">
        <f>'патриотика0,3664'!D313</f>
        <v>3.6640000000000001</v>
      </c>
    </row>
    <row r="206" spans="1:5" ht="12" customHeight="1" x14ac:dyDescent="0.25">
      <c r="A206" s="772"/>
      <c r="B206" s="770"/>
      <c r="C206" s="108" t="str">
        <f>'натур показатели инновации+добр'!C188</f>
        <v>Канцелярские расходники</v>
      </c>
      <c r="D206" s="67" t="str">
        <f>'натур показатели инновации+добр'!D188</f>
        <v>шт</v>
      </c>
      <c r="E206" s="163">
        <f>'патриотика0,3664'!D314</f>
        <v>36.64</v>
      </c>
    </row>
    <row r="207" spans="1:5" ht="12" customHeight="1" x14ac:dyDescent="0.25">
      <c r="A207" s="772"/>
      <c r="B207" s="770"/>
      <c r="C207" s="108" t="str">
        <f>'натур показатели инновации+добр'!C189</f>
        <v>Канцелярия (ручки, карандаши)</v>
      </c>
      <c r="D207" s="67" t="str">
        <f>'натур показатели инновации+добр'!D189</f>
        <v>шт</v>
      </c>
      <c r="E207" s="163">
        <f>'патриотика0,3664'!D315</f>
        <v>36.64</v>
      </c>
    </row>
    <row r="208" spans="1:5" ht="12" customHeight="1" x14ac:dyDescent="0.25">
      <c r="A208" s="772"/>
      <c r="B208" s="770"/>
      <c r="C208" s="108" t="str">
        <f>'натур показатели инновации+добр'!C190</f>
        <v>Офисные принадлежности (папки, скоросшиватели, файлы)</v>
      </c>
      <c r="D208" s="67" t="str">
        <f>'натур показатели инновации+добр'!D190</f>
        <v>шт</v>
      </c>
      <c r="E208" s="163">
        <f>'патриотика0,3664'!D316</f>
        <v>36.64</v>
      </c>
    </row>
    <row r="209" spans="1:5" ht="12" customHeight="1" x14ac:dyDescent="0.25">
      <c r="A209" s="772"/>
      <c r="B209" s="770"/>
      <c r="C209" s="108" t="str">
        <f>'натур показатели инновации+добр'!C191</f>
        <v>Лампы</v>
      </c>
      <c r="D209" s="67" t="str">
        <f>'натур показатели инновации+добр'!D191</f>
        <v>шт</v>
      </c>
      <c r="E209" s="163">
        <f>'патриотика0,3664'!D317</f>
        <v>18.32</v>
      </c>
    </row>
    <row r="210" spans="1:5" ht="12" customHeight="1" x14ac:dyDescent="0.25">
      <c r="A210" s="772"/>
      <c r="B210" s="770"/>
      <c r="C210" s="108" t="str">
        <f>'натур показатели инновации+добр'!C192</f>
        <v>Батерейки</v>
      </c>
      <c r="D210" s="67" t="str">
        <f>'натур показатели инновации+добр'!D192</f>
        <v>шт</v>
      </c>
      <c r="E210" s="163">
        <f>'патриотика0,3664'!D318</f>
        <v>73.28</v>
      </c>
    </row>
    <row r="211" spans="1:5" ht="12" customHeight="1" x14ac:dyDescent="0.25">
      <c r="A211" s="772"/>
      <c r="B211" s="770"/>
      <c r="C211" s="108" t="str">
        <f>'натур показатели инновации+добр'!C193</f>
        <v>Бумага А4</v>
      </c>
      <c r="D211" s="67" t="str">
        <f>'натур показатели инновации+добр'!D193</f>
        <v>шт</v>
      </c>
      <c r="E211" s="163">
        <f>'патриотика0,3664'!D319</f>
        <v>36.64</v>
      </c>
    </row>
    <row r="212" spans="1:5" ht="12" customHeight="1" x14ac:dyDescent="0.25">
      <c r="A212" s="772"/>
      <c r="B212" s="770"/>
      <c r="C212" s="108" t="str">
        <f>'натур показатели инновации+добр'!C194</f>
        <v>Грабли, лопаты</v>
      </c>
      <c r="D212" s="67" t="str">
        <f>'натур показатели инновации+добр'!D194</f>
        <v>шт</v>
      </c>
      <c r="E212" s="163">
        <f>'патриотика0,3664'!D320</f>
        <v>3.6640000000000001</v>
      </c>
    </row>
    <row r="213" spans="1:5" ht="12" customHeight="1" x14ac:dyDescent="0.25">
      <c r="A213" s="772"/>
      <c r="B213" s="770"/>
      <c r="C213" s="108" t="str">
        <f>'натур показатели инновации+добр'!C195</f>
        <v>ГСМ УАЗ (Масло двигатель)</v>
      </c>
      <c r="D213" s="67" t="str">
        <f>'натур показатели инновации+добр'!D195</f>
        <v>шт</v>
      </c>
      <c r="E213" s="163">
        <f>'патриотика0,3664'!D321</f>
        <v>7.3280000000000003</v>
      </c>
    </row>
    <row r="214" spans="1:5" ht="12" customHeight="1" x14ac:dyDescent="0.25">
      <c r="A214" s="772"/>
      <c r="B214" s="770"/>
      <c r="C214" s="108" t="str">
        <f>'натур показатели инновации+добр'!C196</f>
        <v>ГСМ Бензин</v>
      </c>
      <c r="D214" s="67" t="str">
        <f>'натур показатели инновации+добр'!D196</f>
        <v>шт</v>
      </c>
      <c r="E214" s="163">
        <f>'патриотика0,3664'!D322</f>
        <v>952.64</v>
      </c>
    </row>
    <row r="215" spans="1:5" ht="12" hidden="1" customHeight="1" x14ac:dyDescent="0.25">
      <c r="A215" s="772"/>
      <c r="B215" s="770"/>
      <c r="C215" s="108">
        <f>'натур показатели инновации+добр'!C197</f>
        <v>0</v>
      </c>
      <c r="D215" s="67" t="str">
        <f>'натур показатели инновации+добр'!D197</f>
        <v>шт</v>
      </c>
      <c r="E215" s="163">
        <f>'патриотика0,3664'!D323</f>
        <v>0.36899999999999999</v>
      </c>
    </row>
    <row r="216" spans="1:5" ht="12" hidden="1" customHeight="1" x14ac:dyDescent="0.25">
      <c r="A216" s="772"/>
      <c r="B216" s="770"/>
      <c r="C216" s="108">
        <f>'натур показатели инновации+добр'!C198</f>
        <v>0</v>
      </c>
      <c r="D216" s="67" t="str">
        <f>'натур показатели инновации+добр'!D198</f>
        <v>шт</v>
      </c>
      <c r="E216" s="163">
        <f>'патриотика0,3664'!D324</f>
        <v>11.808</v>
      </c>
    </row>
    <row r="217" spans="1:5" ht="12" hidden="1" customHeight="1" x14ac:dyDescent="0.25">
      <c r="A217" s="772"/>
      <c r="B217" s="770"/>
      <c r="C217" s="108">
        <f>'натур показатели инновации+добр'!C199</f>
        <v>0</v>
      </c>
      <c r="D217" s="67" t="str">
        <f>'натур показатели инновации+добр'!D199</f>
        <v>шт</v>
      </c>
      <c r="E217" s="163">
        <f>'патриотика0,3664'!D325</f>
        <v>2.5830000000000002</v>
      </c>
    </row>
    <row r="218" spans="1:5" ht="12" hidden="1" customHeight="1" x14ac:dyDescent="0.25">
      <c r="A218" s="772"/>
      <c r="B218" s="770"/>
      <c r="C218" s="108">
        <f>'натур показатели инновации+добр'!C200</f>
        <v>0</v>
      </c>
      <c r="D218" s="67" t="str">
        <f>'натур показатели инновации+добр'!D200</f>
        <v>шт</v>
      </c>
      <c r="E218" s="163">
        <f>'патриотика0,3664'!D326</f>
        <v>0.36899999999999999</v>
      </c>
    </row>
    <row r="219" spans="1:5" ht="12" hidden="1" customHeight="1" x14ac:dyDescent="0.25">
      <c r="A219" s="772"/>
      <c r="B219" s="770"/>
      <c r="C219" s="108">
        <f>'натур показатели инновации+добр'!C201</f>
        <v>0</v>
      </c>
      <c r="D219" s="67" t="str">
        <f>'натур показатели инновации+добр'!D201</f>
        <v>шт</v>
      </c>
      <c r="E219" s="163">
        <f>'патриотика0,3664'!D327</f>
        <v>0.36899999999999999</v>
      </c>
    </row>
    <row r="220" spans="1:5" ht="12" hidden="1" customHeight="1" x14ac:dyDescent="0.25">
      <c r="A220" s="772"/>
      <c r="B220" s="770"/>
      <c r="C220" s="108">
        <f>'натур показатели инновации+добр'!C202</f>
        <v>0</v>
      </c>
      <c r="D220" s="67" t="str">
        <f>'натур показатели инновации+добр'!D202</f>
        <v>шт</v>
      </c>
      <c r="E220" s="163">
        <f>'патриотика0,3664'!D328</f>
        <v>0.36899999999999999</v>
      </c>
    </row>
    <row r="221" spans="1:5" ht="12" hidden="1" customHeight="1" x14ac:dyDescent="0.25">
      <c r="A221" s="772"/>
      <c r="B221" s="770"/>
      <c r="C221" s="108">
        <f>'натур показатели инновации+добр'!C203</f>
        <v>0</v>
      </c>
      <c r="D221" s="67" t="str">
        <f>'натур показатели инновации+добр'!D203</f>
        <v>шт</v>
      </c>
      <c r="E221" s="163">
        <f>'патриотика0,3664'!D329</f>
        <v>3.69</v>
      </c>
    </row>
    <row r="222" spans="1:5" ht="12" hidden="1" customHeight="1" x14ac:dyDescent="0.25">
      <c r="A222" s="772"/>
      <c r="B222" s="770"/>
      <c r="C222" s="108">
        <f>'натур показатели инновации+добр'!C204</f>
        <v>0</v>
      </c>
      <c r="D222" s="67" t="str">
        <f>'натур показатели инновации+добр'!D204</f>
        <v>шт</v>
      </c>
      <c r="E222" s="163">
        <f>'патриотика0,3664'!D330</f>
        <v>7.38</v>
      </c>
    </row>
    <row r="223" spans="1:5" ht="12" hidden="1" customHeight="1" x14ac:dyDescent="0.25">
      <c r="A223" s="772"/>
      <c r="B223" s="770"/>
      <c r="C223" s="108">
        <f>'натур показатели инновации+добр'!C205</f>
        <v>0</v>
      </c>
      <c r="D223" s="67" t="str">
        <f>'натур показатели инновации+добр'!D205</f>
        <v>шт</v>
      </c>
      <c r="E223" s="163">
        <f>'патриотика0,3664'!D331</f>
        <v>913.75470000000007</v>
      </c>
    </row>
    <row r="224" spans="1:5" ht="12" hidden="1" customHeight="1" x14ac:dyDescent="0.25">
      <c r="A224" s="772"/>
      <c r="B224" s="770"/>
      <c r="C224" s="108">
        <f>'натур показатели инновации+добр'!C206</f>
        <v>0</v>
      </c>
      <c r="D224" s="67">
        <f>'натур показатели инновации+добр'!D206</f>
        <v>0</v>
      </c>
      <c r="E224" s="163">
        <f>'патриотика0,3664'!D332</f>
        <v>10.992000000000001</v>
      </c>
    </row>
    <row r="225" spans="1:5" ht="12" hidden="1" customHeight="1" x14ac:dyDescent="0.25">
      <c r="A225" s="772"/>
      <c r="B225" s="770"/>
      <c r="C225" s="108">
        <f>'натур показатели инновации+добр'!C207</f>
        <v>0</v>
      </c>
      <c r="D225" s="67">
        <f>'натур показатели инновации+добр'!D207</f>
        <v>0</v>
      </c>
      <c r="E225" s="163">
        <f>'патриотика0,3664'!D333</f>
        <v>1.8320000000000001</v>
      </c>
    </row>
    <row r="226" spans="1:5" ht="12" hidden="1" customHeight="1" x14ac:dyDescent="0.25">
      <c r="A226" s="772"/>
      <c r="B226" s="770"/>
      <c r="C226" s="108">
        <f>'натур показатели инновации+добр'!C208</f>
        <v>0</v>
      </c>
      <c r="D226" s="67">
        <f>'натур показатели инновации+добр'!D208</f>
        <v>0</v>
      </c>
      <c r="E226" s="163">
        <f>'патриотика0,3664'!D334</f>
        <v>7.3280000000000003</v>
      </c>
    </row>
    <row r="227" spans="1:5" ht="12" hidden="1" customHeight="1" x14ac:dyDescent="0.25">
      <c r="A227" s="772"/>
      <c r="B227" s="770"/>
      <c r="C227" s="108">
        <f>'натур показатели инновации+добр'!C209</f>
        <v>0</v>
      </c>
      <c r="D227" s="67">
        <f>'натур показатели инновации+добр'!D209</f>
        <v>0</v>
      </c>
      <c r="E227" s="163">
        <f>'патриотика0,3664'!D335</f>
        <v>14.656000000000001</v>
      </c>
    </row>
    <row r="228" spans="1:5" ht="12" hidden="1" customHeight="1" x14ac:dyDescent="0.25">
      <c r="A228" s="772"/>
      <c r="B228" s="770"/>
      <c r="C228" s="108">
        <f>'натур показатели инновации+добр'!C210</f>
        <v>0</v>
      </c>
      <c r="D228" s="67">
        <f>'натур показатели инновации+добр'!D210</f>
        <v>0</v>
      </c>
      <c r="E228" s="163">
        <f>'патриотика0,3664'!D336</f>
        <v>3.6640000000000001</v>
      </c>
    </row>
    <row r="229" spans="1:5" ht="12" hidden="1" customHeight="1" x14ac:dyDescent="0.25">
      <c r="A229" s="772"/>
      <c r="B229" s="770"/>
      <c r="C229" s="108">
        <f>'натур показатели инновации+добр'!C211</f>
        <v>0</v>
      </c>
      <c r="D229" s="67">
        <f>'натур показатели инновации+добр'!D211</f>
        <v>0</v>
      </c>
      <c r="E229" s="163">
        <f>'патриотика0,3664'!D337</f>
        <v>3.6640000000000001</v>
      </c>
    </row>
    <row r="230" spans="1:5" ht="12" hidden="1" customHeight="1" x14ac:dyDescent="0.25">
      <c r="A230" s="772"/>
      <c r="B230" s="770"/>
      <c r="C230" s="108">
        <f>'натур показатели инновации+добр'!C212</f>
        <v>0</v>
      </c>
      <c r="D230" s="67">
        <f>'натур показатели инновации+добр'!D212</f>
        <v>0</v>
      </c>
      <c r="E230" s="163">
        <f>'патриотика0,3664'!D338</f>
        <v>3.6640000000000001</v>
      </c>
    </row>
    <row r="231" spans="1:5" ht="12" hidden="1" customHeight="1" x14ac:dyDescent="0.25">
      <c r="A231" s="772"/>
      <c r="B231" s="770"/>
      <c r="C231" s="108">
        <f>'натур показатели инновации+добр'!C213</f>
        <v>0</v>
      </c>
      <c r="D231" s="67">
        <f>'натур показатели инновации+добр'!D213</f>
        <v>0</v>
      </c>
      <c r="E231" s="163">
        <f>'патриотика0,3664'!D339</f>
        <v>10.992000000000001</v>
      </c>
    </row>
    <row r="232" spans="1:5" ht="12" hidden="1" customHeight="1" x14ac:dyDescent="0.25">
      <c r="A232" s="772"/>
      <c r="B232" s="770"/>
      <c r="C232" s="108">
        <f>'натур показатели инновации+добр'!C214</f>
        <v>0</v>
      </c>
      <c r="D232" s="67">
        <f>'натур показатели инновации+добр'!D214</f>
        <v>0</v>
      </c>
      <c r="E232" s="163">
        <f>'патриотика0,3664'!D340</f>
        <v>19.4192</v>
      </c>
    </row>
    <row r="233" spans="1:5" ht="12" hidden="1" customHeight="1" x14ac:dyDescent="0.25">
      <c r="A233" s="772"/>
      <c r="B233" s="770"/>
      <c r="C233" s="108">
        <f>'натур показатели инновации+добр'!C215</f>
        <v>0</v>
      </c>
      <c r="D233" s="67">
        <f>'натур показатели инновации+добр'!D215</f>
        <v>0</v>
      </c>
      <c r="E233" s="163">
        <f>'патриотика0,3664'!D341</f>
        <v>14.656000000000001</v>
      </c>
    </row>
    <row r="234" spans="1:5" ht="12" hidden="1" customHeight="1" x14ac:dyDescent="0.25">
      <c r="A234" s="772"/>
      <c r="B234" s="770"/>
      <c r="C234" s="108">
        <f>'натур показатели инновации+добр'!C216</f>
        <v>0</v>
      </c>
      <c r="D234" s="67">
        <f>'натур показатели инновации+добр'!D216</f>
        <v>0</v>
      </c>
      <c r="E234" s="163">
        <f>'патриотика0,3664'!D342</f>
        <v>18.32</v>
      </c>
    </row>
    <row r="235" spans="1:5" ht="12" hidden="1" customHeight="1" x14ac:dyDescent="0.25">
      <c r="A235" s="772"/>
      <c r="B235" s="770"/>
      <c r="C235" s="108">
        <f>'натур показатели инновации+добр'!C217</f>
        <v>0</v>
      </c>
      <c r="D235" s="67">
        <f>'натур показатели инновации+добр'!D217</f>
        <v>0</v>
      </c>
      <c r="E235" s="163">
        <f>'патриотика0,3664'!D343</f>
        <v>73.28</v>
      </c>
    </row>
    <row r="236" spans="1:5" ht="12" hidden="1" customHeight="1" x14ac:dyDescent="0.25">
      <c r="A236" s="772"/>
      <c r="B236" s="770"/>
      <c r="C236" s="108">
        <f>'натур показатели инновации+добр'!C218</f>
        <v>0</v>
      </c>
      <c r="D236" s="67">
        <f>'натур показатели инновации+добр'!D218</f>
        <v>0</v>
      </c>
      <c r="E236" s="163">
        <f>'патриотика0,3664'!D344</f>
        <v>25.648</v>
      </c>
    </row>
    <row r="237" spans="1:5" ht="12" hidden="1" customHeight="1" x14ac:dyDescent="0.25">
      <c r="A237" s="772"/>
      <c r="B237" s="770"/>
      <c r="C237" s="108">
        <f>'натур показатели инновации+добр'!C219</f>
        <v>0</v>
      </c>
      <c r="D237" s="67">
        <f>'натур показатели инновации+добр'!D219</f>
        <v>0</v>
      </c>
      <c r="E237" s="163">
        <f>'патриотика0,3664'!D345</f>
        <v>3.6640000000000001</v>
      </c>
    </row>
    <row r="238" spans="1:5" ht="12" hidden="1" customHeight="1" x14ac:dyDescent="0.25">
      <c r="A238" s="772"/>
      <c r="B238" s="770"/>
      <c r="C238" s="108">
        <f>'натур показатели инновации+добр'!C220</f>
        <v>0</v>
      </c>
      <c r="D238" s="67">
        <f>'натур показатели инновации+добр'!D220</f>
        <v>0</v>
      </c>
      <c r="E238" s="163">
        <f>'патриотика0,3664'!D346</f>
        <v>3.6640000000000001</v>
      </c>
    </row>
    <row r="239" spans="1:5" ht="12" hidden="1" customHeight="1" x14ac:dyDescent="0.25">
      <c r="A239" s="772"/>
      <c r="B239" s="770"/>
      <c r="C239" s="108">
        <f>'натур показатели инновации+добр'!C221</f>
        <v>0</v>
      </c>
      <c r="D239" s="67">
        <f>'натур показатели инновации+добр'!D221</f>
        <v>0</v>
      </c>
      <c r="E239" s="163">
        <f>'патриотика0,3664'!D347</f>
        <v>1099.2</v>
      </c>
    </row>
    <row r="240" spans="1:5" ht="12" hidden="1" customHeight="1" x14ac:dyDescent="0.25">
      <c r="A240" s="772"/>
      <c r="B240" s="770"/>
      <c r="C240" s="108">
        <f>'натур показатели инновации+добр'!C222</f>
        <v>0</v>
      </c>
      <c r="D240" s="67">
        <f>'натур показатели инновации+добр'!D222</f>
        <v>0</v>
      </c>
      <c r="E240" s="163">
        <f>'патриотика0,3664'!D348</f>
        <v>0.3664</v>
      </c>
    </row>
    <row r="241" spans="1:5" ht="12" hidden="1" customHeight="1" x14ac:dyDescent="0.25">
      <c r="A241" s="772"/>
      <c r="B241" s="770"/>
      <c r="C241" s="108">
        <f>'натур показатели инновации+добр'!C223</f>
        <v>0</v>
      </c>
      <c r="D241" s="67">
        <f>'натур показатели инновации+добр'!D223</f>
        <v>0</v>
      </c>
      <c r="E241" s="163">
        <f>'патриотика0,3664'!D349</f>
        <v>0.3664</v>
      </c>
    </row>
    <row r="242" spans="1:5" ht="12" hidden="1" customHeight="1" x14ac:dyDescent="0.25">
      <c r="A242" s="772"/>
      <c r="B242" s="770"/>
      <c r="C242" s="108">
        <f>'натур показатели инновации+добр'!C224</f>
        <v>0</v>
      </c>
      <c r="D242" s="67">
        <f>'натур показатели инновации+добр'!D224</f>
        <v>0</v>
      </c>
      <c r="E242" s="163">
        <f>'патриотика0,3664'!D350</f>
        <v>0.3664</v>
      </c>
    </row>
    <row r="243" spans="1:5" ht="12" hidden="1" customHeight="1" x14ac:dyDescent="0.25">
      <c r="A243" s="772"/>
      <c r="B243" s="770"/>
      <c r="C243" s="108">
        <f>'натур показатели инновации+добр'!C225</f>
        <v>0</v>
      </c>
      <c r="D243" s="67">
        <f>'натур показатели инновации+добр'!D225</f>
        <v>0</v>
      </c>
      <c r="E243" s="163">
        <f>'патриотика0,3664'!D351</f>
        <v>0.3664</v>
      </c>
    </row>
    <row r="244" spans="1:5" ht="12" hidden="1" customHeight="1" x14ac:dyDescent="0.25">
      <c r="A244" s="772"/>
      <c r="B244" s="770"/>
      <c r="C244" s="108">
        <f>'натур показатели инновации+добр'!C226</f>
        <v>0</v>
      </c>
      <c r="D244" s="67">
        <f>'натур показатели инновации+добр'!D226</f>
        <v>0</v>
      </c>
      <c r="E244" s="163">
        <f>'патриотика0,3664'!D352</f>
        <v>0.3664</v>
      </c>
    </row>
    <row r="245" spans="1:5" ht="12" hidden="1" customHeight="1" x14ac:dyDescent="0.25">
      <c r="A245" s="772"/>
      <c r="B245" s="770"/>
      <c r="C245" s="108">
        <f>'натур показатели инновации+добр'!C227</f>
        <v>0</v>
      </c>
      <c r="D245" s="67">
        <f>'натур показатели инновации+добр'!D227</f>
        <v>0</v>
      </c>
      <c r="E245" s="163">
        <f>'патриотика0,3664'!D353</f>
        <v>0.3664</v>
      </c>
    </row>
    <row r="246" spans="1:5" ht="12" hidden="1" customHeight="1" x14ac:dyDescent="0.25">
      <c r="A246" s="772"/>
      <c r="B246" s="770"/>
      <c r="C246" s="108">
        <f>'натур показатели инновации+добр'!C228</f>
        <v>0</v>
      </c>
      <c r="D246" s="67">
        <f>'натур показатели инновации+добр'!D228</f>
        <v>0</v>
      </c>
      <c r="E246" s="163">
        <f>'патриотика0,3664'!D354</f>
        <v>0.3664</v>
      </c>
    </row>
    <row r="247" spans="1:5" hidden="1" x14ac:dyDescent="0.25">
      <c r="A247" s="772"/>
      <c r="B247" s="770"/>
      <c r="C247" s="108">
        <f>'натур показатели инновации+добр'!C229</f>
        <v>0</v>
      </c>
      <c r="D247" s="67">
        <f>'натур показатели инновации+добр'!D229</f>
        <v>0</v>
      </c>
      <c r="E247" s="163">
        <f>'патриотика0,3664'!D355</f>
        <v>0.3664</v>
      </c>
    </row>
    <row r="248" spans="1:5" hidden="1" x14ac:dyDescent="0.25">
      <c r="A248" s="772"/>
      <c r="B248" s="770"/>
      <c r="C248" s="108">
        <f>'натур показатели инновации+добр'!C230</f>
        <v>0</v>
      </c>
      <c r="D248" s="67">
        <f>'натур показатели инновации+добр'!D230</f>
        <v>0</v>
      </c>
      <c r="E248" s="163">
        <f>'патриотика0,3664'!D356</f>
        <v>0.3664</v>
      </c>
    </row>
    <row r="249" spans="1:5" hidden="1" x14ac:dyDescent="0.25">
      <c r="A249" s="772"/>
      <c r="B249" s="770"/>
      <c r="C249" s="108">
        <f>'натур показатели инновации+добр'!C231</f>
        <v>0</v>
      </c>
      <c r="D249" s="67">
        <f>'натур показатели инновации+добр'!D231</f>
        <v>0</v>
      </c>
      <c r="E249" s="163">
        <f>'патриотика0,3664'!D357</f>
        <v>0.3664</v>
      </c>
    </row>
    <row r="250" spans="1:5" hidden="1" x14ac:dyDescent="0.25">
      <c r="A250" s="772"/>
      <c r="B250" s="770"/>
      <c r="C250" s="108">
        <f>'натур показатели инновации+добр'!C232</f>
        <v>0</v>
      </c>
      <c r="D250" s="67">
        <f>'натур показатели инновации+добр'!D232</f>
        <v>0</v>
      </c>
      <c r="E250" s="163">
        <f>'патриотика0,3664'!D358</f>
        <v>0.3664</v>
      </c>
    </row>
    <row r="251" spans="1:5" hidden="1" x14ac:dyDescent="0.25">
      <c r="A251" s="772"/>
      <c r="B251" s="770"/>
      <c r="C251" s="108">
        <f>'натур показатели инновации+добр'!C233</f>
        <v>0</v>
      </c>
      <c r="D251" s="67">
        <f>'натур показатели инновации+добр'!D233</f>
        <v>0</v>
      </c>
      <c r="E251" s="163">
        <f>'патриотика0,3664'!D359</f>
        <v>0.3664</v>
      </c>
    </row>
    <row r="252" spans="1:5" hidden="1" x14ac:dyDescent="0.25">
      <c r="A252" s="772"/>
      <c r="B252" s="770"/>
      <c r="C252" s="108">
        <f>'натур показатели инновации+добр'!C234</f>
        <v>0</v>
      </c>
      <c r="D252" s="67">
        <f>'натур показатели инновации+добр'!D234</f>
        <v>0</v>
      </c>
      <c r="E252" s="163">
        <f>'патриотика0,3664'!D360</f>
        <v>0.3664</v>
      </c>
    </row>
    <row r="253" spans="1:5" hidden="1" x14ac:dyDescent="0.25">
      <c r="A253" s="772"/>
      <c r="B253" s="770"/>
      <c r="C253" s="108">
        <f>'натур показатели инновации+добр'!C235</f>
        <v>0</v>
      </c>
      <c r="D253" s="67">
        <f>'натур показатели инновации+добр'!D235</f>
        <v>0</v>
      </c>
      <c r="E253" s="163">
        <f>'патриотика0,3664'!D361</f>
        <v>0.3664</v>
      </c>
    </row>
    <row r="254" spans="1:5" hidden="1" x14ac:dyDescent="0.25">
      <c r="A254" s="772"/>
      <c r="B254" s="770"/>
      <c r="C254" s="108">
        <f>'натур показатели инновации+добр'!C236</f>
        <v>0</v>
      </c>
      <c r="D254" s="67">
        <f>'натур показатели инновации+добр'!D236</f>
        <v>0</v>
      </c>
      <c r="E254" s="163">
        <f>'патриотика0,3664'!D362</f>
        <v>0.3664</v>
      </c>
    </row>
    <row r="255" spans="1:5" hidden="1" x14ac:dyDescent="0.25">
      <c r="A255" s="772"/>
      <c r="B255" s="770"/>
      <c r="C255" s="108">
        <f>'натур показатели инновации+добр'!C237</f>
        <v>0</v>
      </c>
      <c r="D255" s="67">
        <f>'натур показатели инновации+добр'!D237</f>
        <v>0</v>
      </c>
      <c r="E255" s="163">
        <f>'патриотика0,3664'!D363</f>
        <v>0.3664</v>
      </c>
    </row>
    <row r="256" spans="1:5" hidden="1" x14ac:dyDescent="0.25">
      <c r="A256" s="772"/>
      <c r="B256" s="770"/>
      <c r="C256" s="108">
        <f>'натур показатели инновации+добр'!C238</f>
        <v>0</v>
      </c>
      <c r="D256" s="67">
        <f>'натур показатели инновации+добр'!D238</f>
        <v>0</v>
      </c>
      <c r="E256" s="163">
        <f>'патриотика0,3664'!D364</f>
        <v>0.3664</v>
      </c>
    </row>
    <row r="257" spans="1:5" hidden="1" x14ac:dyDescent="0.25">
      <c r="A257" s="772"/>
      <c r="B257" s="770"/>
      <c r="C257" s="108">
        <f>'натур показатели инновации+добр'!C239</f>
        <v>0</v>
      </c>
      <c r="D257" s="67">
        <f>'натур показатели инновации+добр'!D239</f>
        <v>0</v>
      </c>
      <c r="E257" s="163">
        <f>'патриотика0,3664'!D365</f>
        <v>0.3664</v>
      </c>
    </row>
    <row r="258" spans="1:5" hidden="1" x14ac:dyDescent="0.25">
      <c r="A258" s="772"/>
      <c r="B258" s="770"/>
      <c r="C258" s="108">
        <f>'натур показатели инновации+добр'!C240</f>
        <v>0</v>
      </c>
      <c r="D258" s="67">
        <f>'натур показатели инновации+добр'!D240</f>
        <v>0</v>
      </c>
      <c r="E258" s="163">
        <f>'патриотика0,3664'!D366</f>
        <v>0.3664</v>
      </c>
    </row>
    <row r="259" spans="1:5" ht="22.5" hidden="1" customHeight="1" x14ac:dyDescent="0.25">
      <c r="A259" s="772"/>
      <c r="B259" s="770"/>
      <c r="C259" s="108">
        <f>'натур показатели инновации+добр'!C241</f>
        <v>0</v>
      </c>
      <c r="D259" s="67">
        <f>'натур показатели инновации+добр'!D241</f>
        <v>0</v>
      </c>
      <c r="E259" s="163">
        <f>'патриотика0,3664'!D367</f>
        <v>0.3664</v>
      </c>
    </row>
    <row r="260" spans="1:5" hidden="1" x14ac:dyDescent="0.25">
      <c r="A260" s="772"/>
      <c r="B260" s="770"/>
      <c r="C260" s="108">
        <f>'натур показатели инновации+добр'!C242</f>
        <v>0</v>
      </c>
      <c r="D260" s="67">
        <f>'натур показатели инновации+добр'!D242</f>
        <v>0</v>
      </c>
      <c r="E260" s="163">
        <f>'патриотика0,3664'!D368</f>
        <v>0.3664</v>
      </c>
    </row>
    <row r="261" spans="1:5" hidden="1" x14ac:dyDescent="0.25">
      <c r="A261" s="772"/>
      <c r="B261" s="770"/>
      <c r="C261" s="108">
        <f>'натур показатели инновации+добр'!C243</f>
        <v>0</v>
      </c>
      <c r="D261" s="67">
        <f>'натур показатели инновации+добр'!D243</f>
        <v>0</v>
      </c>
      <c r="E261" s="163">
        <f>'патриотика0,3664'!D369</f>
        <v>0.3664</v>
      </c>
    </row>
    <row r="262" spans="1:5" hidden="1" x14ac:dyDescent="0.25">
      <c r="A262" s="772"/>
      <c r="B262" s="770"/>
      <c r="C262" s="108">
        <f>'натур показатели инновации+добр'!C244</f>
        <v>0</v>
      </c>
      <c r="D262" s="67">
        <f>'натур показатели инновации+добр'!D244</f>
        <v>0</v>
      </c>
      <c r="E262" s="163">
        <f>'патриотика0,3664'!D370</f>
        <v>0.3664</v>
      </c>
    </row>
    <row r="263" spans="1:5" hidden="1" x14ac:dyDescent="0.25">
      <c r="A263" s="772"/>
      <c r="B263" s="770"/>
      <c r="C263" s="108">
        <f>'натур показатели инновации+добр'!C245</f>
        <v>0</v>
      </c>
      <c r="D263" s="67">
        <f>'натур показатели инновации+добр'!D245</f>
        <v>0</v>
      </c>
      <c r="E263" s="163">
        <f>'патриотика0,3664'!D371</f>
        <v>0.3664</v>
      </c>
    </row>
    <row r="264" spans="1:5" hidden="1" x14ac:dyDescent="0.25">
      <c r="A264" s="772"/>
      <c r="B264" s="770"/>
      <c r="C264" s="108">
        <f>'натур показатели инновации+добр'!C246</f>
        <v>0</v>
      </c>
      <c r="D264" s="67">
        <f>'натур показатели инновации+добр'!D246</f>
        <v>0</v>
      </c>
      <c r="E264" s="163">
        <f>'патриотика0,3664'!D372</f>
        <v>0.3664</v>
      </c>
    </row>
    <row r="265" spans="1:5" hidden="1" x14ac:dyDescent="0.25">
      <c r="A265" s="772"/>
      <c r="B265" s="770"/>
      <c r="C265" s="108">
        <f>'натур показатели инновации+добр'!C247</f>
        <v>0</v>
      </c>
      <c r="D265" s="67">
        <f>'натур показатели инновации+добр'!D247</f>
        <v>0</v>
      </c>
      <c r="E265" s="163">
        <f>'патриотика0,3664'!D373</f>
        <v>0.3664</v>
      </c>
    </row>
    <row r="266" spans="1:5" ht="22.5" hidden="1" customHeight="1" x14ac:dyDescent="0.25">
      <c r="A266" s="772"/>
      <c r="B266" s="770"/>
      <c r="C266" s="108">
        <f>'натур показатели инновации+добр'!C248</f>
        <v>0</v>
      </c>
      <c r="D266" s="67">
        <f>'натур показатели инновации+добр'!D248</f>
        <v>0</v>
      </c>
      <c r="E266" s="163">
        <f>'патриотика0,3664'!D374</f>
        <v>0.3664</v>
      </c>
    </row>
    <row r="267" spans="1:5" hidden="1" x14ac:dyDescent="0.25">
      <c r="A267" s="772"/>
      <c r="B267" s="770"/>
      <c r="C267" s="108">
        <f>'натур показатели инновации+добр'!C249</f>
        <v>0</v>
      </c>
      <c r="D267" s="67">
        <f>'натур показатели инновации+добр'!D249</f>
        <v>0</v>
      </c>
      <c r="E267" s="163">
        <f>'патриотика0,3664'!D375</f>
        <v>0.3664</v>
      </c>
    </row>
    <row r="268" spans="1:5" hidden="1" x14ac:dyDescent="0.25">
      <c r="A268" s="772"/>
      <c r="B268" s="770"/>
      <c r="C268" s="108">
        <f>'натур показатели инновации+добр'!C250</f>
        <v>0</v>
      </c>
      <c r="D268" s="67">
        <f>'натур показатели инновации+добр'!D250</f>
        <v>0</v>
      </c>
      <c r="E268" s="163">
        <f>'патриотика0,3664'!D376</f>
        <v>0.3664</v>
      </c>
    </row>
    <row r="269" spans="1:5" hidden="1" x14ac:dyDescent="0.25">
      <c r="A269" s="772"/>
      <c r="B269" s="770"/>
      <c r="C269" s="108">
        <f>'натур показатели инновации+добр'!C251</f>
        <v>0</v>
      </c>
      <c r="D269" s="67">
        <f>'натур показатели инновации+добр'!D251</f>
        <v>0</v>
      </c>
      <c r="E269" s="163">
        <f>'патриотика0,3664'!D377</f>
        <v>0.3664</v>
      </c>
    </row>
    <row r="270" spans="1:5" hidden="1" x14ac:dyDescent="0.25">
      <c r="A270" s="772"/>
      <c r="B270" s="770"/>
      <c r="C270" s="108">
        <f>'натур показатели инновации+добр'!C252</f>
        <v>0</v>
      </c>
      <c r="D270" s="67">
        <f>'натур показатели инновации+добр'!D252</f>
        <v>0</v>
      </c>
      <c r="E270" s="163">
        <f>'патриотика0,3664'!D378</f>
        <v>0.3664</v>
      </c>
    </row>
    <row r="271" spans="1:5" hidden="1" x14ac:dyDescent="0.25">
      <c r="A271" s="772"/>
      <c r="B271" s="770"/>
      <c r="C271" s="108">
        <f>'натур показатели инновации+добр'!C253</f>
        <v>0</v>
      </c>
      <c r="D271" s="67">
        <f>'натур показатели инновации+добр'!D253</f>
        <v>0</v>
      </c>
      <c r="E271" s="163">
        <f>'патриотика0,3664'!D379</f>
        <v>0.3664</v>
      </c>
    </row>
    <row r="272" spans="1:5" hidden="1" x14ac:dyDescent="0.25">
      <c r="A272" s="772"/>
      <c r="B272" s="770"/>
      <c r="C272" s="108">
        <f>'натур показатели инновации+добр'!C254</f>
        <v>0</v>
      </c>
      <c r="D272" s="67">
        <f>'натур показатели инновации+добр'!D254</f>
        <v>0</v>
      </c>
      <c r="E272" s="163">
        <f>'патриотика0,3664'!D380</f>
        <v>0.3664</v>
      </c>
    </row>
    <row r="273" spans="1:5" hidden="1" x14ac:dyDescent="0.25">
      <c r="A273" s="772"/>
      <c r="B273" s="770"/>
      <c r="C273" s="108">
        <f>'натур показатели инновации+добр'!C255</f>
        <v>0</v>
      </c>
      <c r="D273" s="67">
        <f>'натур показатели инновации+добр'!D255</f>
        <v>0</v>
      </c>
      <c r="E273" s="163">
        <f>'патриотика0,3664'!D381</f>
        <v>0.3664</v>
      </c>
    </row>
    <row r="274" spans="1:5" hidden="1" x14ac:dyDescent="0.25">
      <c r="A274" s="772"/>
      <c r="B274" s="770"/>
      <c r="C274" s="108">
        <f>'натур показатели инновации+добр'!C256</f>
        <v>0</v>
      </c>
      <c r="D274" s="67">
        <f>'натур показатели инновации+добр'!D256</f>
        <v>0</v>
      </c>
      <c r="E274" s="163">
        <f>'патриотика0,3664'!D382</f>
        <v>0.3664</v>
      </c>
    </row>
    <row r="275" spans="1:5" ht="22.5" hidden="1" customHeight="1" x14ac:dyDescent="0.25">
      <c r="A275" s="772"/>
      <c r="B275" s="770"/>
      <c r="C275" s="108">
        <f>'натур показатели инновации+добр'!C257</f>
        <v>0</v>
      </c>
      <c r="D275" s="67">
        <f>'натур показатели инновации+добр'!D257</f>
        <v>0</v>
      </c>
      <c r="E275" s="163">
        <f>'патриотика0,3664'!D383</f>
        <v>0.3664</v>
      </c>
    </row>
    <row r="276" spans="1:5" hidden="1" x14ac:dyDescent="0.25">
      <c r="A276" s="772"/>
      <c r="B276" s="770"/>
      <c r="C276" s="108">
        <f>'натур показатели инновации+добр'!C258</f>
        <v>0</v>
      </c>
      <c r="D276" s="67">
        <f>'натур показатели инновации+добр'!D258</f>
        <v>0</v>
      </c>
      <c r="E276" s="163">
        <f>'патриотика0,3664'!D384</f>
        <v>0.3664</v>
      </c>
    </row>
    <row r="277" spans="1:5" hidden="1" x14ac:dyDescent="0.25">
      <c r="A277" s="772"/>
      <c r="B277" s="770"/>
      <c r="C277" s="108">
        <f>'натур показатели инновации+добр'!C259</f>
        <v>0</v>
      </c>
      <c r="D277" s="67">
        <f>'натур показатели инновации+добр'!D259</f>
        <v>0</v>
      </c>
      <c r="E277" s="163">
        <f>'патриотика0,3664'!D385</f>
        <v>0.3664</v>
      </c>
    </row>
    <row r="278" spans="1:5" hidden="1" x14ac:dyDescent="0.25">
      <c r="A278" s="772"/>
      <c r="B278" s="770"/>
      <c r="C278" s="108">
        <f>'натур показатели инновации+добр'!C260</f>
        <v>0</v>
      </c>
      <c r="D278" s="67">
        <f>'натур показатели инновации+добр'!D260</f>
        <v>0</v>
      </c>
      <c r="E278" s="163">
        <f>'патриотика0,3664'!D386</f>
        <v>0.3664</v>
      </c>
    </row>
    <row r="279" spans="1:5" hidden="1" x14ac:dyDescent="0.25">
      <c r="A279" s="772"/>
      <c r="B279" s="770"/>
      <c r="C279" s="108">
        <f>'натур показатели инновации+добр'!C261</f>
        <v>0</v>
      </c>
      <c r="D279" s="67">
        <f>'натур показатели инновации+добр'!D261</f>
        <v>0</v>
      </c>
      <c r="E279" s="163">
        <f>'патриотика0,3664'!D387</f>
        <v>0.3664</v>
      </c>
    </row>
    <row r="280" spans="1:5" hidden="1" x14ac:dyDescent="0.25">
      <c r="A280" s="772"/>
      <c r="B280" s="770"/>
      <c r="C280" s="108">
        <f>'натур показатели инновации+добр'!C262</f>
        <v>0</v>
      </c>
      <c r="D280" s="67">
        <f>'натур показатели инновации+добр'!D262</f>
        <v>0</v>
      </c>
      <c r="E280" s="163">
        <f>'патриотика0,3664'!D388</f>
        <v>0.3664</v>
      </c>
    </row>
    <row r="281" spans="1:5" hidden="1" x14ac:dyDescent="0.25">
      <c r="A281" s="772"/>
      <c r="B281" s="770"/>
      <c r="C281" s="108">
        <f>'натур показатели инновации+добр'!C263</f>
        <v>0</v>
      </c>
      <c r="D281" s="67">
        <f>'натур показатели инновации+добр'!D263</f>
        <v>0</v>
      </c>
      <c r="E281" s="163">
        <f>'патриотика0,3664'!D389</f>
        <v>0.3664</v>
      </c>
    </row>
    <row r="282" spans="1:5" hidden="1" x14ac:dyDescent="0.25">
      <c r="A282" s="772"/>
      <c r="B282" s="770"/>
      <c r="C282" s="108">
        <f>'натур показатели инновации+добр'!C264</f>
        <v>0</v>
      </c>
      <c r="D282" s="67">
        <f>'натур показатели инновации+добр'!D264</f>
        <v>0</v>
      </c>
      <c r="E282" s="163">
        <f>'патриотика0,3664'!D390</f>
        <v>0.3664</v>
      </c>
    </row>
    <row r="283" spans="1:5" hidden="1" x14ac:dyDescent="0.25">
      <c r="A283" s="772"/>
      <c r="B283" s="770"/>
      <c r="C283" s="108">
        <f>'натур показатели инновации+добр'!C265</f>
        <v>0</v>
      </c>
      <c r="D283" s="67">
        <f>'натур показатели инновации+добр'!D265</f>
        <v>0</v>
      </c>
      <c r="E283" s="163">
        <f>'патриотика0,3664'!D391</f>
        <v>0.3664</v>
      </c>
    </row>
    <row r="284" spans="1:5" hidden="1" x14ac:dyDescent="0.25">
      <c r="A284" s="772"/>
      <c r="B284" s="770"/>
      <c r="C284" s="108">
        <f>'натур показатели инновации+добр'!C266</f>
        <v>0</v>
      </c>
      <c r="D284" s="67">
        <f>'натур показатели инновации+добр'!D266</f>
        <v>0</v>
      </c>
      <c r="E284" s="163">
        <f>'патриотика0,3664'!D392</f>
        <v>0.3664</v>
      </c>
    </row>
    <row r="285" spans="1:5" hidden="1" x14ac:dyDescent="0.25">
      <c r="A285" s="772"/>
      <c r="B285" s="770"/>
      <c r="C285" s="108">
        <f>'натур показатели инновации+добр'!C267</f>
        <v>0</v>
      </c>
      <c r="D285" s="67">
        <f>'натур показатели инновации+добр'!D267</f>
        <v>0</v>
      </c>
      <c r="E285" s="163">
        <f>'патриотика0,3664'!D393</f>
        <v>0.3664</v>
      </c>
    </row>
    <row r="286" spans="1:5" hidden="1" x14ac:dyDescent="0.25">
      <c r="A286" s="772"/>
      <c r="B286" s="770"/>
      <c r="C286" s="108">
        <f>'натур показатели инновации+добр'!C268</f>
        <v>0</v>
      </c>
      <c r="D286" s="67">
        <f>'натур показатели инновации+добр'!D268</f>
        <v>0</v>
      </c>
      <c r="E286" s="163">
        <f>'патриотика0,3664'!D394</f>
        <v>0.3664</v>
      </c>
    </row>
    <row r="287" spans="1:5" hidden="1" x14ac:dyDescent="0.25">
      <c r="A287" s="772"/>
      <c r="B287" s="770"/>
      <c r="C287" s="108">
        <f>'натур показатели инновации+добр'!C269</f>
        <v>0</v>
      </c>
      <c r="D287" s="67">
        <f>'натур показатели инновации+добр'!D269</f>
        <v>0</v>
      </c>
      <c r="E287" s="163">
        <f>'патриотика0,3664'!D395</f>
        <v>0.3664</v>
      </c>
    </row>
    <row r="288" spans="1:5" hidden="1" x14ac:dyDescent="0.25">
      <c r="A288" s="772"/>
      <c r="B288" s="770"/>
      <c r="C288" s="108">
        <f>'натур показатели инновации+добр'!C270</f>
        <v>0</v>
      </c>
      <c r="D288" s="67">
        <f>'натур показатели инновации+добр'!D270</f>
        <v>0</v>
      </c>
      <c r="E288" s="163">
        <f>'патриотика0,3664'!D396</f>
        <v>0.3664</v>
      </c>
    </row>
    <row r="289" spans="1:5" hidden="1" x14ac:dyDescent="0.25">
      <c r="A289" s="772"/>
      <c r="B289" s="770"/>
      <c r="C289" s="108">
        <f>'натур показатели инновации+добр'!C271</f>
        <v>0</v>
      </c>
      <c r="D289" s="67">
        <f>'натур показатели инновации+добр'!D271</f>
        <v>0</v>
      </c>
      <c r="E289" s="163">
        <f>'патриотика0,3664'!D397</f>
        <v>0.3664</v>
      </c>
    </row>
    <row r="290" spans="1:5" hidden="1" x14ac:dyDescent="0.25">
      <c r="A290" s="772"/>
      <c r="B290" s="770"/>
      <c r="C290" s="108">
        <f>'натур показатели инновации+добр'!C272</f>
        <v>0</v>
      </c>
      <c r="D290" s="67">
        <f>'натур показатели инновации+добр'!D272</f>
        <v>0</v>
      </c>
      <c r="E290" s="163">
        <f>'патриотика0,3664'!D398</f>
        <v>0.3664</v>
      </c>
    </row>
    <row r="291" spans="1:5" hidden="1" x14ac:dyDescent="0.25">
      <c r="A291" s="772"/>
      <c r="B291" s="770"/>
      <c r="C291" s="108">
        <f>'натур показатели инновации+добр'!C273</f>
        <v>0</v>
      </c>
      <c r="D291" s="67">
        <f>'натур показатели инновации+добр'!D273</f>
        <v>0</v>
      </c>
      <c r="E291" s="163">
        <f>'патриотика0,3664'!D399</f>
        <v>0.3664</v>
      </c>
    </row>
    <row r="292" spans="1:5" hidden="1" x14ac:dyDescent="0.25">
      <c r="A292" s="772"/>
      <c r="B292" s="770"/>
      <c r="C292" s="108">
        <f>'натур показатели инновации+добр'!C274</f>
        <v>0</v>
      </c>
      <c r="D292" s="67">
        <f>'натур показатели инновации+добр'!D274</f>
        <v>0</v>
      </c>
      <c r="E292" s="163">
        <f>'патриотика0,3664'!D400</f>
        <v>0.3664</v>
      </c>
    </row>
    <row r="293" spans="1:5" hidden="1" x14ac:dyDescent="0.25">
      <c r="A293" s="772"/>
      <c r="B293" s="770"/>
      <c r="C293" s="108">
        <f>'натур показатели инновации+добр'!C275</f>
        <v>0</v>
      </c>
      <c r="D293" s="67">
        <f>'натур показатели инновации+добр'!D275</f>
        <v>0</v>
      </c>
      <c r="E293" s="163">
        <f>'патриотика0,3664'!D401</f>
        <v>0.3664</v>
      </c>
    </row>
    <row r="294" spans="1:5" hidden="1" x14ac:dyDescent="0.25">
      <c r="A294" s="772"/>
      <c r="B294" s="770"/>
      <c r="C294" s="108">
        <f>'натур показатели инновации+добр'!C276</f>
        <v>0</v>
      </c>
      <c r="D294" s="67">
        <f>'натур показатели инновации+добр'!D276</f>
        <v>0</v>
      </c>
      <c r="E294" s="163">
        <f>'патриотика0,3664'!D402</f>
        <v>0.3664</v>
      </c>
    </row>
    <row r="295" spans="1:5" hidden="1" x14ac:dyDescent="0.25">
      <c r="A295" s="772"/>
      <c r="B295" s="770"/>
      <c r="C295" s="108">
        <f>'натур показатели инновации+добр'!C277</f>
        <v>0</v>
      </c>
      <c r="D295" s="67">
        <f>'натур показатели инновации+добр'!D277</f>
        <v>0</v>
      </c>
      <c r="E295" s="163">
        <f>'патриотика0,3664'!D403</f>
        <v>0.3664</v>
      </c>
    </row>
    <row r="296" spans="1:5" hidden="1" x14ac:dyDescent="0.25">
      <c r="A296" s="772"/>
      <c r="B296" s="770"/>
      <c r="C296" s="108">
        <f>'натур показатели инновации+добр'!C278</f>
        <v>0</v>
      </c>
      <c r="D296" s="67">
        <f>'натур показатели инновации+добр'!D278</f>
        <v>0</v>
      </c>
      <c r="E296" s="163">
        <f>'патриотика0,3664'!D404</f>
        <v>0.3664</v>
      </c>
    </row>
    <row r="297" spans="1:5" hidden="1" x14ac:dyDescent="0.25">
      <c r="A297" s="772"/>
      <c r="B297" s="770"/>
      <c r="C297" s="108">
        <f>'натур показатели инновации+добр'!C279</f>
        <v>0</v>
      </c>
      <c r="D297" s="67">
        <f>'натур показатели инновации+добр'!D279</f>
        <v>0</v>
      </c>
      <c r="E297" s="163">
        <f>'патриотика0,3664'!D405</f>
        <v>0.3664</v>
      </c>
    </row>
    <row r="298" spans="1:5" hidden="1" x14ac:dyDescent="0.25">
      <c r="A298" s="772"/>
      <c r="B298" s="770"/>
      <c r="C298" s="108">
        <f>'натур показатели инновации+добр'!C280</f>
        <v>0</v>
      </c>
      <c r="D298" s="67">
        <f>'натур показатели инновации+добр'!D280</f>
        <v>0</v>
      </c>
      <c r="E298" s="163">
        <f>'патриотика0,3664'!D406</f>
        <v>0.3664</v>
      </c>
    </row>
    <row r="299" spans="1:5" hidden="1" x14ac:dyDescent="0.25">
      <c r="A299" s="772"/>
      <c r="B299" s="770"/>
      <c r="C299" s="108">
        <f>'натур показатели инновации+добр'!C281</f>
        <v>0</v>
      </c>
      <c r="D299" s="67">
        <f>'натур показатели инновации+добр'!D281</f>
        <v>0</v>
      </c>
      <c r="E299" s="163">
        <f>'патриотика0,3664'!D407</f>
        <v>0.3664</v>
      </c>
    </row>
    <row r="300" spans="1:5" hidden="1" x14ac:dyDescent="0.25">
      <c r="A300" s="772"/>
      <c r="B300" s="770"/>
      <c r="C300" s="108">
        <f>'натур показатели инновации+добр'!C282</f>
        <v>0</v>
      </c>
      <c r="D300" s="67">
        <f>'натур показатели инновации+добр'!D282</f>
        <v>0</v>
      </c>
      <c r="E300" s="163">
        <f>'патриотика0,3664'!D408</f>
        <v>0.3664</v>
      </c>
    </row>
    <row r="301" spans="1:5" hidden="1" x14ac:dyDescent="0.25">
      <c r="A301" s="772"/>
      <c r="B301" s="770"/>
      <c r="C301" s="108">
        <f>'натур показатели инновации+добр'!C283</f>
        <v>0</v>
      </c>
      <c r="D301" s="67">
        <f>'натур показатели инновации+добр'!D283</f>
        <v>0</v>
      </c>
      <c r="E301" s="163">
        <f>'патриотика0,3664'!D409</f>
        <v>0.3664</v>
      </c>
    </row>
    <row r="302" spans="1:5" ht="33.75" hidden="1" customHeight="1" x14ac:dyDescent="0.25">
      <c r="A302" s="772"/>
      <c r="B302" s="770"/>
      <c r="C302" s="108">
        <f>'натур показатели инновации+добр'!C284</f>
        <v>0</v>
      </c>
      <c r="D302" s="67">
        <f>'натур показатели инновации+добр'!D284</f>
        <v>0</v>
      </c>
      <c r="E302" s="163">
        <f>'патриотика0,3664'!D410</f>
        <v>0.3664</v>
      </c>
    </row>
    <row r="303" spans="1:5" hidden="1" x14ac:dyDescent="0.25">
      <c r="A303" s="772"/>
      <c r="B303" s="770"/>
      <c r="C303" s="108">
        <f>'натур показатели инновации+добр'!C285</f>
        <v>0</v>
      </c>
      <c r="D303" s="67">
        <f>'натур показатели инновации+добр'!D285</f>
        <v>0</v>
      </c>
      <c r="E303" s="163">
        <f>'патриотика0,3664'!D411</f>
        <v>0.3664</v>
      </c>
    </row>
    <row r="304" spans="1:5" hidden="1" x14ac:dyDescent="0.25">
      <c r="A304" s="772"/>
      <c r="B304" s="770"/>
      <c r="C304" s="108">
        <f>'натур показатели инновации+добр'!C286</f>
        <v>0</v>
      </c>
      <c r="D304" s="67">
        <f>'натур показатели инновации+добр'!D286</f>
        <v>0</v>
      </c>
      <c r="E304" s="163">
        <f>'патриотика0,3664'!D412</f>
        <v>0.3664</v>
      </c>
    </row>
    <row r="305" spans="1:5" hidden="1" x14ac:dyDescent="0.25">
      <c r="A305" s="772"/>
      <c r="B305" s="770"/>
      <c r="C305" s="108">
        <f>'натур показатели инновации+добр'!C287</f>
        <v>0</v>
      </c>
      <c r="D305" s="67">
        <f>'натур показатели инновации+добр'!D287</f>
        <v>0</v>
      </c>
      <c r="E305" s="163">
        <f>'патриотика0,3664'!D413</f>
        <v>0.3664</v>
      </c>
    </row>
    <row r="306" spans="1:5" hidden="1" x14ac:dyDescent="0.25">
      <c r="A306" s="772"/>
      <c r="B306" s="770"/>
      <c r="C306" s="108">
        <f>'натур показатели инновации+добр'!C288</f>
        <v>0</v>
      </c>
      <c r="D306" s="67">
        <f>'натур показатели инновации+добр'!D288</f>
        <v>0</v>
      </c>
      <c r="E306" s="163">
        <f>'патриотика0,3664'!D414</f>
        <v>0.3664</v>
      </c>
    </row>
    <row r="307" spans="1:5" hidden="1" x14ac:dyDescent="0.25">
      <c r="A307" s="772"/>
      <c r="B307" s="770"/>
      <c r="C307" s="108">
        <f>'натур показатели инновации+добр'!C289</f>
        <v>0</v>
      </c>
      <c r="D307" s="67">
        <f>'натур показатели инновации+добр'!D289</f>
        <v>0</v>
      </c>
      <c r="E307" s="163">
        <f>'патриотика0,3664'!D415</f>
        <v>0.3664</v>
      </c>
    </row>
    <row r="308" spans="1:5" hidden="1" x14ac:dyDescent="0.25">
      <c r="A308" s="772"/>
      <c r="B308" s="770"/>
      <c r="C308" s="108">
        <f>'натур показатели инновации+добр'!C290</f>
        <v>0</v>
      </c>
      <c r="D308" s="67">
        <f>'натур показатели инновации+добр'!D290</f>
        <v>0</v>
      </c>
      <c r="E308" s="163">
        <f>'патриотика0,3664'!D416</f>
        <v>0.3664</v>
      </c>
    </row>
    <row r="309" spans="1:5" hidden="1" x14ac:dyDescent="0.25">
      <c r="A309" s="772"/>
      <c r="B309" s="770"/>
      <c r="C309" s="108">
        <f>'натур показатели инновации+добр'!C291</f>
        <v>0</v>
      </c>
      <c r="D309" s="67">
        <f>'натур показатели инновации+добр'!D291</f>
        <v>0</v>
      </c>
      <c r="E309" s="163">
        <f>'патриотика0,3664'!D417</f>
        <v>0.3664</v>
      </c>
    </row>
    <row r="310" spans="1:5" hidden="1" x14ac:dyDescent="0.25">
      <c r="A310" s="772"/>
      <c r="B310" s="770"/>
      <c r="C310" s="108">
        <f>'натур показатели инновации+добр'!C292</f>
        <v>0</v>
      </c>
      <c r="D310" s="67">
        <f>'натур показатели инновации+добр'!D292</f>
        <v>0</v>
      </c>
      <c r="E310" s="163">
        <f>'патриотика0,3664'!D418</f>
        <v>0.3664</v>
      </c>
    </row>
    <row r="311" spans="1:5" hidden="1" x14ac:dyDescent="0.25">
      <c r="A311" s="772"/>
      <c r="B311" s="770"/>
      <c r="C311" s="108">
        <f>'натур показатели инновации+добр'!C293</f>
        <v>0</v>
      </c>
      <c r="D311" s="67">
        <f>'натур показатели инновации+добр'!D293</f>
        <v>0</v>
      </c>
      <c r="E311" s="163">
        <f>'патриотика0,3664'!D419</f>
        <v>0.3664</v>
      </c>
    </row>
    <row r="312" spans="1:5" hidden="1" x14ac:dyDescent="0.25">
      <c r="A312" s="772"/>
      <c r="B312" s="770"/>
      <c r="C312" s="108">
        <f>'натур показатели инновации+добр'!C294</f>
        <v>0</v>
      </c>
      <c r="D312" s="67">
        <f>'натур показатели инновации+добр'!D294</f>
        <v>0</v>
      </c>
      <c r="E312" s="163">
        <f>'патриотика0,3664'!D420</f>
        <v>0.3664</v>
      </c>
    </row>
    <row r="313" spans="1:5" hidden="1" x14ac:dyDescent="0.25">
      <c r="A313" s="772"/>
      <c r="B313" s="770"/>
      <c r="C313" s="108">
        <f>'натур показатели инновации+добр'!C295</f>
        <v>0</v>
      </c>
      <c r="D313" s="67">
        <f>'натур показатели инновации+добр'!D295</f>
        <v>0</v>
      </c>
      <c r="E313" s="163">
        <f>'патриотика0,3664'!D421</f>
        <v>0.3664</v>
      </c>
    </row>
    <row r="314" spans="1:5" hidden="1" x14ac:dyDescent="0.25">
      <c r="A314" s="772"/>
      <c r="B314" s="770"/>
      <c r="C314" s="108">
        <f>'натур показатели инновации+добр'!C296</f>
        <v>0</v>
      </c>
      <c r="D314" s="67">
        <f>'натур показатели инновации+добр'!D296</f>
        <v>0</v>
      </c>
      <c r="E314" s="163">
        <f>'патриотика0,3664'!D422</f>
        <v>0.3664</v>
      </c>
    </row>
    <row r="315" spans="1:5" hidden="1" x14ac:dyDescent="0.25">
      <c r="A315" s="772"/>
      <c r="B315" s="770"/>
      <c r="C315" s="108">
        <f>'натур показатели инновации+добр'!C297</f>
        <v>0</v>
      </c>
      <c r="D315" s="67">
        <f>'натур показатели инновации+добр'!D297</f>
        <v>0</v>
      </c>
      <c r="E315" s="163">
        <f>'патриотика0,3664'!D423</f>
        <v>0.3664</v>
      </c>
    </row>
    <row r="316" spans="1:5" hidden="1" x14ac:dyDescent="0.25">
      <c r="A316" s="772"/>
      <c r="B316" s="770"/>
      <c r="C316" s="108">
        <f>'натур показатели инновации+добр'!C298</f>
        <v>0</v>
      </c>
      <c r="D316" s="67">
        <f>'натур показатели инновации+добр'!D298</f>
        <v>0</v>
      </c>
      <c r="E316" s="163">
        <f>'патриотика0,3664'!D424</f>
        <v>0.3664</v>
      </c>
    </row>
    <row r="317" spans="1:5" hidden="1" x14ac:dyDescent="0.25">
      <c r="A317" s="772"/>
      <c r="B317" s="770"/>
      <c r="C317" s="108">
        <f>'натур показатели инновации+добр'!C299</f>
        <v>0</v>
      </c>
      <c r="D317" s="67">
        <f>'натур показатели инновации+добр'!D299</f>
        <v>0</v>
      </c>
      <c r="E317" s="163">
        <f>'патриотика0,3664'!D425</f>
        <v>0.3664</v>
      </c>
    </row>
    <row r="318" spans="1:5" hidden="1" x14ac:dyDescent="0.25">
      <c r="A318" s="772"/>
      <c r="B318" s="770"/>
      <c r="C318" s="108">
        <f>'натур показатели инновации+добр'!C300</f>
        <v>0</v>
      </c>
      <c r="D318" s="67">
        <f>'натур показатели инновации+добр'!D300</f>
        <v>0</v>
      </c>
      <c r="E318" s="163">
        <f>'патриотика0,3664'!D426</f>
        <v>0.3664</v>
      </c>
    </row>
    <row r="319" spans="1:5" hidden="1" x14ac:dyDescent="0.25">
      <c r="A319" s="772"/>
      <c r="B319" s="770"/>
      <c r="C319" s="108">
        <f>'натур показатели инновации+добр'!C301</f>
        <v>0</v>
      </c>
      <c r="D319" s="67">
        <f>'натур показатели инновации+добр'!D301</f>
        <v>0</v>
      </c>
      <c r="E319" s="163">
        <f>'патриотика0,3664'!D427</f>
        <v>0.3664</v>
      </c>
    </row>
    <row r="320" spans="1:5" hidden="1" x14ac:dyDescent="0.25">
      <c r="A320" s="772"/>
      <c r="B320" s="770"/>
      <c r="C320" s="108">
        <f>'натур показатели инновации+добр'!C302</f>
        <v>0</v>
      </c>
      <c r="D320" s="67">
        <f>'натур показатели инновации+добр'!D302</f>
        <v>0</v>
      </c>
      <c r="E320" s="163">
        <f>'патриотика0,3664'!D428</f>
        <v>0.3664</v>
      </c>
    </row>
    <row r="321" spans="1:5" hidden="1" x14ac:dyDescent="0.25">
      <c r="A321" s="772"/>
      <c r="B321" s="770"/>
      <c r="C321" s="108">
        <f>'натур показатели инновации+добр'!C303</f>
        <v>0</v>
      </c>
      <c r="D321" s="67">
        <f>'натур показатели инновации+добр'!D303</f>
        <v>0</v>
      </c>
      <c r="E321" s="163">
        <f>'патриотика0,3664'!D429</f>
        <v>0.3664</v>
      </c>
    </row>
    <row r="322" spans="1:5" hidden="1" x14ac:dyDescent="0.25">
      <c r="A322" s="772"/>
      <c r="B322" s="770"/>
      <c r="C322" s="108">
        <f>'натур показатели инновации+добр'!C304</f>
        <v>0</v>
      </c>
      <c r="D322" s="67">
        <f>'натур показатели инновации+добр'!D304</f>
        <v>0</v>
      </c>
      <c r="E322" s="163">
        <f>'патриотика0,3664'!D430</f>
        <v>0.3664</v>
      </c>
    </row>
    <row r="323" spans="1:5" hidden="1" x14ac:dyDescent="0.25">
      <c r="A323" s="772"/>
      <c r="B323" s="770"/>
      <c r="C323" s="108">
        <f>'натур показатели инновации+добр'!C305</f>
        <v>0</v>
      </c>
      <c r="D323" s="67">
        <f>'натур показатели инновации+добр'!D305</f>
        <v>0</v>
      </c>
      <c r="E323" s="163">
        <f>'патриотика0,3664'!D431</f>
        <v>0.3664</v>
      </c>
    </row>
    <row r="324" spans="1:5" hidden="1" x14ac:dyDescent="0.25">
      <c r="A324" s="772"/>
      <c r="B324" s="770"/>
      <c r="C324" s="108">
        <f>'натур показатели инновации+добр'!C306</f>
        <v>0</v>
      </c>
      <c r="D324" s="67">
        <f>'натур показатели инновации+добр'!D306</f>
        <v>0</v>
      </c>
      <c r="E324" s="163">
        <f>'патриотика0,3664'!D432</f>
        <v>0.3664</v>
      </c>
    </row>
    <row r="325" spans="1:5" hidden="1" x14ac:dyDescent="0.25">
      <c r="A325" s="772"/>
      <c r="B325" s="770"/>
      <c r="C325" s="108">
        <f>'натур показатели инновации+добр'!C307</f>
        <v>0</v>
      </c>
      <c r="D325" s="67">
        <f>'натур показатели инновации+добр'!D307</f>
        <v>0</v>
      </c>
      <c r="E325" s="163">
        <f>'патриотика0,3664'!D433</f>
        <v>0.3664</v>
      </c>
    </row>
    <row r="326" spans="1:5" hidden="1" x14ac:dyDescent="0.25">
      <c r="A326" s="772"/>
      <c r="B326" s="770"/>
      <c r="C326" s="108">
        <f>'натур показатели инновации+добр'!C308</f>
        <v>0</v>
      </c>
      <c r="D326" s="67">
        <f>'натур показатели инновации+добр'!D308</f>
        <v>0</v>
      </c>
      <c r="E326" s="163">
        <f>'патриотика0,3664'!D434</f>
        <v>0.3664</v>
      </c>
    </row>
    <row r="327" spans="1:5" hidden="1" x14ac:dyDescent="0.25">
      <c r="A327" s="772"/>
      <c r="B327" s="770"/>
      <c r="C327" s="108">
        <f>'натур показатели инновации+добр'!C309</f>
        <v>0</v>
      </c>
      <c r="D327" s="67">
        <f>'натур показатели инновации+добр'!D309</f>
        <v>0</v>
      </c>
      <c r="E327" s="163">
        <f>'патриотика0,3664'!D435</f>
        <v>0.3664</v>
      </c>
    </row>
    <row r="328" spans="1:5" hidden="1" x14ac:dyDescent="0.25">
      <c r="A328" s="772"/>
      <c r="B328" s="770"/>
      <c r="C328" s="108">
        <f>'натур показатели инновации+добр'!C310</f>
        <v>0</v>
      </c>
      <c r="D328" s="67">
        <f>'натур показатели инновации+добр'!D310</f>
        <v>0</v>
      </c>
      <c r="E328" s="163">
        <f>'патриотика0,3664'!D436</f>
        <v>0.3664</v>
      </c>
    </row>
    <row r="329" spans="1:5" hidden="1" x14ac:dyDescent="0.25">
      <c r="A329" s="772"/>
      <c r="B329" s="770"/>
      <c r="C329" s="108">
        <f>'натур показатели инновации+добр'!C311</f>
        <v>0</v>
      </c>
      <c r="D329" s="67">
        <f>'натур показатели инновации+добр'!D311</f>
        <v>0</v>
      </c>
      <c r="E329" s="163">
        <f>'патриотика0,3664'!D437</f>
        <v>0.3664</v>
      </c>
    </row>
    <row r="330" spans="1:5" hidden="1" x14ac:dyDescent="0.25">
      <c r="A330" s="772"/>
      <c r="B330" s="770"/>
      <c r="C330" s="108">
        <f>'натур показатели инновации+добр'!C312</f>
        <v>0</v>
      </c>
      <c r="D330" s="67">
        <f>'натур показатели инновации+добр'!D312</f>
        <v>0</v>
      </c>
      <c r="E330" s="163">
        <f>'патриотика0,3664'!D438</f>
        <v>0.3664</v>
      </c>
    </row>
    <row r="331" spans="1:5" hidden="1" x14ac:dyDescent="0.25">
      <c r="A331" s="772"/>
      <c r="B331" s="770"/>
      <c r="C331" s="108">
        <f>'натур показатели инновации+добр'!C313</f>
        <v>0</v>
      </c>
      <c r="D331" s="67">
        <f>'натур показатели инновации+добр'!D313</f>
        <v>0</v>
      </c>
      <c r="E331" s="163">
        <f>'патриотика0,3664'!D439</f>
        <v>0.3664</v>
      </c>
    </row>
    <row r="332" spans="1:5" hidden="1" x14ac:dyDescent="0.25">
      <c r="A332" s="772"/>
      <c r="B332" s="770"/>
      <c r="C332" s="108">
        <f>'натур показатели инновации+добр'!C314</f>
        <v>0</v>
      </c>
      <c r="D332" s="67">
        <f>'натур показатели инновации+добр'!D314</f>
        <v>0</v>
      </c>
      <c r="E332" s="163">
        <f>'патриотика0,3664'!D440</f>
        <v>0.3664</v>
      </c>
    </row>
    <row r="333" spans="1:5" hidden="1" x14ac:dyDescent="0.25">
      <c r="A333" s="772"/>
      <c r="B333" s="770"/>
      <c r="C333" s="108">
        <f>'натур показатели инновации+добр'!C315</f>
        <v>0</v>
      </c>
      <c r="D333" s="67">
        <f>'натур показатели инновации+добр'!D315</f>
        <v>0</v>
      </c>
      <c r="E333" s="163">
        <f>'патриотика0,3664'!D441</f>
        <v>0.3664</v>
      </c>
    </row>
    <row r="334" spans="1:5" hidden="1" x14ac:dyDescent="0.25">
      <c r="A334" s="772"/>
      <c r="B334" s="770"/>
      <c r="C334" s="108">
        <f>'натур показатели инновации+добр'!C316</f>
        <v>0</v>
      </c>
      <c r="D334" s="67">
        <f>'натур показатели инновации+добр'!D316</f>
        <v>0</v>
      </c>
      <c r="E334" s="163">
        <f>'патриотика0,3664'!D442</f>
        <v>0.3664</v>
      </c>
    </row>
    <row r="335" spans="1:5" hidden="1" x14ac:dyDescent="0.25">
      <c r="A335" s="772"/>
      <c r="B335" s="770"/>
      <c r="C335" s="108">
        <f>'натур показатели инновации+добр'!C317</f>
        <v>0</v>
      </c>
      <c r="D335" s="67">
        <f>'натур показатели инновации+добр'!D317</f>
        <v>0</v>
      </c>
      <c r="E335" s="163">
        <f>'патриотика0,3664'!D443</f>
        <v>0.3664</v>
      </c>
    </row>
    <row r="336" spans="1:5" hidden="1" x14ac:dyDescent="0.25">
      <c r="A336" s="772"/>
      <c r="B336" s="770"/>
      <c r="C336" s="108">
        <f>'натур показатели инновации+добр'!C318</f>
        <v>0</v>
      </c>
      <c r="D336" s="67">
        <f>'натур показатели инновации+добр'!D318</f>
        <v>0</v>
      </c>
      <c r="E336" s="163">
        <f>'патриотика0,3664'!D444</f>
        <v>0.3664</v>
      </c>
    </row>
    <row r="337" spans="1:5" hidden="1" x14ac:dyDescent="0.25">
      <c r="A337" s="772"/>
      <c r="B337" s="770"/>
      <c r="C337" s="108">
        <f>'натур показатели инновации+добр'!C319</f>
        <v>0</v>
      </c>
      <c r="D337" s="67">
        <f>'натур показатели инновации+добр'!D319</f>
        <v>0</v>
      </c>
      <c r="E337" s="163">
        <f>'патриотика0,3664'!D445</f>
        <v>0.3664</v>
      </c>
    </row>
    <row r="338" spans="1:5" hidden="1" x14ac:dyDescent="0.25">
      <c r="A338" s="772"/>
      <c r="B338" s="770"/>
      <c r="C338" s="108">
        <f>'натур показатели инновации+добр'!C320</f>
        <v>0</v>
      </c>
      <c r="D338" s="67">
        <f>'натур показатели инновации+добр'!D320</f>
        <v>0</v>
      </c>
      <c r="E338" s="163">
        <f>'патриотика0,3664'!D446</f>
        <v>0.3664</v>
      </c>
    </row>
    <row r="339" spans="1:5" hidden="1" x14ac:dyDescent="0.25">
      <c r="A339" s="772"/>
      <c r="B339" s="770"/>
      <c r="C339" s="108">
        <f>'натур показатели инновации+добр'!C321</f>
        <v>0</v>
      </c>
      <c r="D339" s="67">
        <f>'натур показатели инновации+добр'!D321</f>
        <v>0</v>
      </c>
      <c r="E339" s="163">
        <f>'патриотика0,3664'!D447</f>
        <v>0.3664</v>
      </c>
    </row>
    <row r="340" spans="1:5" hidden="1" x14ac:dyDescent="0.25">
      <c r="A340" s="772"/>
      <c r="B340" s="770"/>
      <c r="C340" s="108">
        <f>'натур показатели инновации+добр'!C322</f>
        <v>0</v>
      </c>
      <c r="D340" s="67">
        <f>'натур показатели инновации+добр'!D322</f>
        <v>0</v>
      </c>
      <c r="E340" s="163">
        <f>'патриотика0,3664'!D448</f>
        <v>0.3664</v>
      </c>
    </row>
    <row r="341" spans="1:5" hidden="1" x14ac:dyDescent="0.25">
      <c r="A341" s="772"/>
      <c r="B341" s="770"/>
      <c r="C341" s="108">
        <f>'натур показатели инновации+добр'!C323</f>
        <v>0</v>
      </c>
      <c r="D341" s="67">
        <f>'натур показатели инновации+добр'!D323</f>
        <v>0</v>
      </c>
      <c r="E341" s="163">
        <f>'патриотика0,3664'!D449</f>
        <v>0.3664</v>
      </c>
    </row>
    <row r="342" spans="1:5" hidden="1" x14ac:dyDescent="0.25">
      <c r="A342" s="772"/>
      <c r="B342" s="770"/>
      <c r="C342" s="108">
        <f>'натур показатели инновации+добр'!C324</f>
        <v>0</v>
      </c>
      <c r="D342" s="67">
        <f>'натур показатели инновации+добр'!D324</f>
        <v>0</v>
      </c>
      <c r="E342" s="163">
        <f>'патриотика0,3664'!D450</f>
        <v>0.3664</v>
      </c>
    </row>
    <row r="343" spans="1:5" hidden="1" x14ac:dyDescent="0.25">
      <c r="A343" s="772"/>
      <c r="B343" s="770"/>
      <c r="C343" s="108">
        <f>'натур показатели инновации+добр'!C325</f>
        <v>0</v>
      </c>
      <c r="D343" s="67">
        <f>'натур показатели инновации+добр'!D325</f>
        <v>0</v>
      </c>
      <c r="E343" s="163">
        <f>'патриотика0,3664'!D451</f>
        <v>0.3664</v>
      </c>
    </row>
    <row r="344" spans="1:5" hidden="1" x14ac:dyDescent="0.25">
      <c r="A344" s="772"/>
      <c r="B344" s="770"/>
      <c r="C344" s="108">
        <f>'натур показатели инновации+добр'!C326</f>
        <v>0</v>
      </c>
      <c r="D344" s="67">
        <f>'натур показатели инновации+добр'!D326</f>
        <v>0</v>
      </c>
      <c r="E344" s="163">
        <f>'патриотика0,3664'!D452</f>
        <v>0.3664</v>
      </c>
    </row>
    <row r="345" spans="1:5" hidden="1" x14ac:dyDescent="0.25">
      <c r="A345" s="772"/>
      <c r="B345" s="770"/>
      <c r="C345" s="108">
        <f>'натур показатели инновации+добр'!C327</f>
        <v>0</v>
      </c>
      <c r="D345" s="67">
        <f>'натур показатели инновации+добр'!D327</f>
        <v>0</v>
      </c>
      <c r="E345" s="163">
        <f>'патриотика0,3664'!D453</f>
        <v>0.3664</v>
      </c>
    </row>
    <row r="346" spans="1:5" hidden="1" x14ac:dyDescent="0.25">
      <c r="A346" s="772"/>
      <c r="B346" s="770"/>
      <c r="C346" s="108">
        <f>'натур показатели инновации+добр'!C328</f>
        <v>0</v>
      </c>
      <c r="D346" s="67">
        <f>'натур показатели инновации+добр'!D328</f>
        <v>0</v>
      </c>
      <c r="E346" s="163">
        <f>'патриотика0,3664'!D454</f>
        <v>0.3664</v>
      </c>
    </row>
    <row r="347" spans="1:5" hidden="1" x14ac:dyDescent="0.25">
      <c r="A347" s="772"/>
      <c r="B347" s="770"/>
      <c r="C347" s="108">
        <f>'натур показатели инновации+добр'!C329</f>
        <v>0</v>
      </c>
      <c r="D347" s="67">
        <f>'натур показатели инновации+добр'!D329</f>
        <v>0</v>
      </c>
      <c r="E347" s="163">
        <f>'патриотика0,3664'!D455</f>
        <v>0.3664</v>
      </c>
    </row>
    <row r="348" spans="1:5" hidden="1" x14ac:dyDescent="0.25">
      <c r="A348" s="772"/>
      <c r="B348" s="770"/>
      <c r="C348" s="108">
        <f>'натур показатели инновации+добр'!C330</f>
        <v>0</v>
      </c>
      <c r="D348" s="67">
        <f>'натур показатели инновации+добр'!D330</f>
        <v>0</v>
      </c>
      <c r="E348" s="163">
        <f>'патриотика0,3664'!D456</f>
        <v>0.3664</v>
      </c>
    </row>
    <row r="349" spans="1:5" hidden="1" x14ac:dyDescent="0.25">
      <c r="A349" s="772"/>
      <c r="B349" s="770"/>
      <c r="C349" s="108">
        <f>'натур показатели инновации+добр'!C331</f>
        <v>0</v>
      </c>
      <c r="D349" s="67">
        <f>'натур показатели инновации+добр'!D331</f>
        <v>0</v>
      </c>
      <c r="E349" s="163">
        <f>'патриотика0,3664'!D457</f>
        <v>0.3664</v>
      </c>
    </row>
    <row r="350" spans="1:5" hidden="1" x14ac:dyDescent="0.25">
      <c r="A350" s="772"/>
      <c r="B350" s="770"/>
      <c r="C350" s="108">
        <f>'натур показатели инновации+добр'!C332</f>
        <v>0</v>
      </c>
      <c r="D350" s="67">
        <f>'натур показатели инновации+добр'!D332</f>
        <v>0</v>
      </c>
      <c r="E350" s="163">
        <f>'патриотика0,3664'!D458</f>
        <v>0.3664</v>
      </c>
    </row>
    <row r="351" spans="1:5" hidden="1" x14ac:dyDescent="0.25">
      <c r="A351" s="772"/>
      <c r="B351" s="770"/>
      <c r="C351" s="108">
        <f>'натур показатели инновации+добр'!C333</f>
        <v>0</v>
      </c>
      <c r="D351" s="67">
        <f>'натур показатели инновации+добр'!D333</f>
        <v>0</v>
      </c>
      <c r="E351" s="163">
        <f>'патриотика0,3664'!D459</f>
        <v>0.3664</v>
      </c>
    </row>
    <row r="352" spans="1:5" hidden="1" x14ac:dyDescent="0.25">
      <c r="A352" s="772"/>
      <c r="B352" s="770"/>
      <c r="C352" s="108">
        <f>'натур показатели инновации+добр'!C334</f>
        <v>0</v>
      </c>
      <c r="D352" s="67">
        <f>'натур показатели инновации+добр'!D334</f>
        <v>0</v>
      </c>
      <c r="E352" s="163">
        <f>'патриотика0,3664'!D460</f>
        <v>0.3664</v>
      </c>
    </row>
    <row r="353" spans="1:5" hidden="1" x14ac:dyDescent="0.25">
      <c r="A353" s="772"/>
      <c r="B353" s="770"/>
      <c r="C353" s="108">
        <f>'натур показатели инновации+добр'!C335</f>
        <v>0</v>
      </c>
      <c r="D353" s="67">
        <f>'натур показатели инновации+добр'!D335</f>
        <v>0</v>
      </c>
      <c r="E353" s="163">
        <f>'патриотика0,3664'!D461</f>
        <v>0.3664</v>
      </c>
    </row>
    <row r="354" spans="1:5" hidden="1" x14ac:dyDescent="0.25">
      <c r="A354" s="772"/>
      <c r="B354" s="770"/>
      <c r="C354" s="108">
        <f>'натур показатели инновации+добр'!C336</f>
        <v>0</v>
      </c>
      <c r="D354" s="67">
        <f>'натур показатели инновации+добр'!D336</f>
        <v>0</v>
      </c>
      <c r="E354" s="163">
        <f>'патриотика0,3664'!D462</f>
        <v>0.3664</v>
      </c>
    </row>
    <row r="355" spans="1:5" hidden="1" x14ac:dyDescent="0.25">
      <c r="A355" s="772"/>
      <c r="B355" s="770"/>
      <c r="C355" s="108">
        <f>'натур показатели инновации+добр'!C337</f>
        <v>0</v>
      </c>
      <c r="D355" s="67">
        <f>'натур показатели инновации+добр'!D337</f>
        <v>0</v>
      </c>
      <c r="E355" s="163">
        <f>'патриотика0,3664'!D463</f>
        <v>0.3664</v>
      </c>
    </row>
    <row r="356" spans="1:5" hidden="1" x14ac:dyDescent="0.25">
      <c r="A356" s="772"/>
      <c r="B356" s="770"/>
      <c r="C356" s="108">
        <f>'натур показатели инновации+добр'!C338</f>
        <v>0</v>
      </c>
      <c r="D356" s="67">
        <f>'натур показатели инновации+добр'!D338</f>
        <v>0</v>
      </c>
      <c r="E356" s="163">
        <f>'патриотика0,3664'!D464</f>
        <v>0.3664</v>
      </c>
    </row>
    <row r="357" spans="1:5" hidden="1" x14ac:dyDescent="0.25">
      <c r="A357" s="772"/>
      <c r="B357" s="770"/>
      <c r="C357" s="108">
        <f>'натур показатели инновации+добр'!C339</f>
        <v>0</v>
      </c>
      <c r="D357" s="67">
        <f>'натур показатели инновации+добр'!D339</f>
        <v>0</v>
      </c>
      <c r="E357" s="163">
        <f>'патриотика0,3664'!D465</f>
        <v>0.3664</v>
      </c>
    </row>
    <row r="358" spans="1:5" hidden="1" x14ac:dyDescent="0.25">
      <c r="A358" s="772"/>
      <c r="B358" s="770"/>
      <c r="C358" s="108">
        <f>'натур показатели инновации+добр'!C340</f>
        <v>0</v>
      </c>
      <c r="D358" s="67">
        <f>'натур показатели инновации+добр'!D340</f>
        <v>0</v>
      </c>
      <c r="E358" s="163">
        <f>'патриотика0,3664'!D466</f>
        <v>0.3664</v>
      </c>
    </row>
    <row r="359" spans="1:5" hidden="1" x14ac:dyDescent="0.25">
      <c r="A359" s="772"/>
      <c r="B359" s="770"/>
      <c r="C359" s="108">
        <f>'натур показатели инновации+добр'!C341</f>
        <v>0</v>
      </c>
      <c r="D359" s="67">
        <f>'натур показатели инновации+добр'!D341</f>
        <v>0</v>
      </c>
      <c r="E359" s="163">
        <f>'патриотика0,3664'!D467</f>
        <v>0.3664</v>
      </c>
    </row>
    <row r="360" spans="1:5" hidden="1" x14ac:dyDescent="0.25">
      <c r="A360" s="772"/>
      <c r="B360" s="770"/>
      <c r="C360" s="108">
        <f>'натур показатели инновации+добр'!C342</f>
        <v>0</v>
      </c>
      <c r="D360" s="67">
        <f>'натур показатели инновации+добр'!D342</f>
        <v>0</v>
      </c>
      <c r="E360" s="163">
        <f>'патриотика0,3664'!D468</f>
        <v>0.3664</v>
      </c>
    </row>
    <row r="361" spans="1:5" hidden="1" x14ac:dyDescent="0.25">
      <c r="A361" s="772"/>
      <c r="B361" s="770"/>
      <c r="C361" s="108">
        <f>'натур показатели инновации+добр'!C343</f>
        <v>0</v>
      </c>
      <c r="D361" s="67">
        <f>'натур показатели инновации+добр'!D343</f>
        <v>0</v>
      </c>
      <c r="E361" s="163">
        <f>'патриотика0,3664'!D469</f>
        <v>0.3664</v>
      </c>
    </row>
    <row r="362" spans="1:5" hidden="1" x14ac:dyDescent="0.25">
      <c r="A362" s="772"/>
      <c r="B362" s="770"/>
      <c r="C362" s="108">
        <f>'натур показатели инновации+добр'!C344</f>
        <v>0</v>
      </c>
      <c r="D362" s="67">
        <f>'натур показатели инновации+добр'!D344</f>
        <v>0</v>
      </c>
      <c r="E362" s="163">
        <f>'патриотика0,3664'!D470</f>
        <v>0.3664</v>
      </c>
    </row>
    <row r="363" spans="1:5" hidden="1" x14ac:dyDescent="0.25">
      <c r="A363" s="772"/>
      <c r="B363" s="770"/>
      <c r="C363" s="108">
        <f>'натур показатели инновации+добр'!C345</f>
        <v>0</v>
      </c>
      <c r="D363" s="67">
        <f>'натур показатели инновации+добр'!D345</f>
        <v>0</v>
      </c>
      <c r="E363" s="163">
        <f>'патриотика0,3664'!D471</f>
        <v>0.3664</v>
      </c>
    </row>
    <row r="364" spans="1:5" hidden="1" x14ac:dyDescent="0.25">
      <c r="A364" s="772"/>
      <c r="B364" s="770"/>
      <c r="C364" s="108">
        <f>'натур показатели инновации+добр'!C346</f>
        <v>0</v>
      </c>
      <c r="D364" s="67">
        <f>'натур показатели инновации+добр'!D346</f>
        <v>0</v>
      </c>
      <c r="E364" s="163">
        <f>'патриотика0,3664'!D472</f>
        <v>0.3664</v>
      </c>
    </row>
    <row r="365" spans="1:5" hidden="1" x14ac:dyDescent="0.25">
      <c r="A365" s="772"/>
      <c r="B365" s="770"/>
      <c r="C365" s="108">
        <f>'натур показатели инновации+добр'!C347</f>
        <v>0</v>
      </c>
      <c r="D365" s="67">
        <f>'натур показатели инновации+добр'!D347</f>
        <v>0</v>
      </c>
      <c r="E365" s="163">
        <f>'патриотика0,3664'!D473</f>
        <v>0.3664</v>
      </c>
    </row>
    <row r="366" spans="1:5" hidden="1" x14ac:dyDescent="0.25">
      <c r="A366" s="772"/>
      <c r="B366" s="770"/>
      <c r="C366" s="108">
        <f>'натур показатели инновации+добр'!C348</f>
        <v>0</v>
      </c>
      <c r="D366" s="67">
        <f>'натур показатели инновации+добр'!D348</f>
        <v>0</v>
      </c>
      <c r="E366" s="163">
        <f>'патриотика0,3664'!D474</f>
        <v>0.3664</v>
      </c>
    </row>
    <row r="367" spans="1:5" hidden="1" x14ac:dyDescent="0.25">
      <c r="A367" s="772"/>
      <c r="B367" s="770"/>
      <c r="C367" s="108">
        <f>'натур показатели инновации+добр'!C349</f>
        <v>0</v>
      </c>
      <c r="D367" s="67">
        <f>'натур показатели инновации+добр'!D349</f>
        <v>0</v>
      </c>
      <c r="E367" s="163">
        <f>'патриотика0,3664'!D475</f>
        <v>0.3664</v>
      </c>
    </row>
    <row r="368" spans="1:5" hidden="1" x14ac:dyDescent="0.25">
      <c r="A368" s="772"/>
      <c r="B368" s="770"/>
      <c r="C368" s="108">
        <f>'натур показатели инновации+добр'!C350</f>
        <v>0</v>
      </c>
      <c r="D368" s="67">
        <f>'натур показатели инновации+добр'!D350</f>
        <v>0</v>
      </c>
      <c r="E368" s="163">
        <f>'патриотика0,3664'!D476</f>
        <v>0.3664</v>
      </c>
    </row>
    <row r="369" spans="1:5" hidden="1" x14ac:dyDescent="0.25">
      <c r="A369" s="772"/>
      <c r="B369" s="770"/>
      <c r="C369" s="108">
        <f>'натур показатели инновации+добр'!C351</f>
        <v>0</v>
      </c>
      <c r="D369" s="67">
        <f>'натур показатели инновации+добр'!D351</f>
        <v>0</v>
      </c>
      <c r="E369" s="163">
        <f>'патриотика0,3664'!D477</f>
        <v>0.3664</v>
      </c>
    </row>
    <row r="370" spans="1:5" hidden="1" x14ac:dyDescent="0.25">
      <c r="A370" s="772"/>
      <c r="B370" s="770"/>
      <c r="C370" s="108">
        <f>'натур показатели инновации+добр'!C352</f>
        <v>0</v>
      </c>
      <c r="D370" s="67">
        <f>'натур показатели инновации+добр'!D352</f>
        <v>0</v>
      </c>
      <c r="E370" s="163">
        <f>'патриотика0,3664'!D478</f>
        <v>0.3664</v>
      </c>
    </row>
    <row r="371" spans="1:5" hidden="1" x14ac:dyDescent="0.25">
      <c r="A371" s="772"/>
      <c r="B371" s="770"/>
      <c r="C371" s="108">
        <f>'натур показатели инновации+добр'!C353</f>
        <v>0</v>
      </c>
      <c r="D371" s="67">
        <f>'натур показатели инновации+добр'!D353</f>
        <v>0</v>
      </c>
      <c r="E371" s="163">
        <f>'патриотика0,3664'!D479</f>
        <v>0.3664</v>
      </c>
    </row>
    <row r="372" spans="1:5" hidden="1" x14ac:dyDescent="0.25">
      <c r="A372" s="772"/>
      <c r="B372" s="770"/>
      <c r="C372" s="108">
        <f>'натур показатели инновации+добр'!C354</f>
        <v>0</v>
      </c>
      <c r="D372" s="67">
        <f>'натур показатели инновации+добр'!D354</f>
        <v>0</v>
      </c>
      <c r="E372" s="163">
        <f>'патриотика0,3664'!D480</f>
        <v>0.3664</v>
      </c>
    </row>
    <row r="373" spans="1:5" hidden="1" x14ac:dyDescent="0.25">
      <c r="A373" s="772"/>
      <c r="B373" s="770"/>
      <c r="C373" s="108">
        <f>'натур показатели инновации+добр'!C355</f>
        <v>0</v>
      </c>
      <c r="D373" s="67">
        <f>'натур показатели инновации+добр'!D355</f>
        <v>0</v>
      </c>
      <c r="E373" s="163">
        <f>'патриотика0,3664'!D481</f>
        <v>0.3664</v>
      </c>
    </row>
    <row r="374" spans="1:5" hidden="1" x14ac:dyDescent="0.25">
      <c r="A374" s="772"/>
      <c r="B374" s="770"/>
      <c r="C374" s="108">
        <f>'натур показатели инновации+добр'!C356</f>
        <v>0</v>
      </c>
      <c r="D374" s="67">
        <f>'натур показатели инновации+добр'!D356</f>
        <v>0</v>
      </c>
      <c r="E374" s="163">
        <f>'патриотика0,3664'!D482</f>
        <v>0.3664</v>
      </c>
    </row>
    <row r="375" spans="1:5" hidden="1" x14ac:dyDescent="0.25">
      <c r="A375" s="772"/>
      <c r="B375" s="770"/>
      <c r="C375" s="108">
        <f>'натур показатели инновации+добр'!C357</f>
        <v>0</v>
      </c>
      <c r="D375" s="67">
        <f>'натур показатели инновации+добр'!D357</f>
        <v>0</v>
      </c>
      <c r="E375" s="163">
        <f>'патриотика0,3664'!D483</f>
        <v>0.3664</v>
      </c>
    </row>
    <row r="376" spans="1:5" hidden="1" x14ac:dyDescent="0.25">
      <c r="A376" s="772"/>
      <c r="B376" s="770"/>
      <c r="C376" s="108">
        <f>'натур показатели инновации+добр'!C358</f>
        <v>0</v>
      </c>
      <c r="D376" s="67">
        <f>'натур показатели инновации+добр'!D358</f>
        <v>0</v>
      </c>
      <c r="E376" s="163">
        <f>'патриотика0,3664'!D484</f>
        <v>0.3664</v>
      </c>
    </row>
    <row r="377" spans="1:5" hidden="1" x14ac:dyDescent="0.25">
      <c r="A377" s="772"/>
      <c r="B377" s="770"/>
      <c r="C377" s="108">
        <f>'натур показатели инновации+добр'!C359</f>
        <v>0</v>
      </c>
      <c r="D377" s="67">
        <f>'натур показатели инновации+добр'!D359</f>
        <v>0</v>
      </c>
      <c r="E377" s="163">
        <f>'патриотика0,3664'!D485</f>
        <v>0.3664</v>
      </c>
    </row>
    <row r="378" spans="1:5" hidden="1" x14ac:dyDescent="0.25">
      <c r="A378" s="772"/>
      <c r="B378" s="770"/>
      <c r="C378" s="108">
        <f>'натур показатели инновации+добр'!C360</f>
        <v>0</v>
      </c>
      <c r="D378" s="67">
        <f>'натур показатели инновации+добр'!D360</f>
        <v>0</v>
      </c>
      <c r="E378" s="163">
        <f>'патриотика0,3664'!D486</f>
        <v>0.3664</v>
      </c>
    </row>
    <row r="379" spans="1:5" hidden="1" x14ac:dyDescent="0.25">
      <c r="A379" s="772"/>
      <c r="B379" s="770"/>
      <c r="C379" s="108">
        <f>'натур показатели инновации+добр'!C361</f>
        <v>0</v>
      </c>
      <c r="D379" s="67">
        <f>'натур показатели инновации+добр'!D361</f>
        <v>0</v>
      </c>
      <c r="E379" s="163">
        <f>'патриотика0,3664'!D487</f>
        <v>0.3664</v>
      </c>
    </row>
    <row r="380" spans="1:5" hidden="1" x14ac:dyDescent="0.25">
      <c r="A380" s="772"/>
      <c r="B380" s="770"/>
      <c r="C380" s="108">
        <f>'натур показатели инновации+добр'!C362</f>
        <v>0</v>
      </c>
      <c r="D380" s="67">
        <f>'натур показатели инновации+добр'!D362</f>
        <v>0</v>
      </c>
      <c r="E380" s="163">
        <f>'патриотика0,3664'!D488</f>
        <v>0.3664</v>
      </c>
    </row>
    <row r="381" spans="1:5" hidden="1" x14ac:dyDescent="0.25">
      <c r="A381" s="772"/>
      <c r="B381" s="770"/>
      <c r="C381" s="108">
        <f>'натур показатели инновации+добр'!C363</f>
        <v>0</v>
      </c>
      <c r="D381" s="67">
        <f>'натур показатели инновации+добр'!D363</f>
        <v>0</v>
      </c>
      <c r="E381" s="163">
        <f>'патриотика0,3664'!D489</f>
        <v>0.3664</v>
      </c>
    </row>
    <row r="382" spans="1:5" hidden="1" x14ac:dyDescent="0.25">
      <c r="A382" s="772"/>
      <c r="B382" s="770"/>
      <c r="C382" s="108">
        <f>'натур показатели инновации+добр'!C364</f>
        <v>0</v>
      </c>
      <c r="D382" s="67" t="s">
        <v>84</v>
      </c>
      <c r="E382" s="163">
        <f>'патриотика0,3664'!D490</f>
        <v>0.3664</v>
      </c>
    </row>
    <row r="383" spans="1:5" hidden="1" x14ac:dyDescent="0.25">
      <c r="A383" s="772"/>
      <c r="B383" s="770"/>
      <c r="C383" s="108">
        <f>'натур показатели инновации+добр'!C365</f>
        <v>0</v>
      </c>
      <c r="D383" s="67" t="s">
        <v>84</v>
      </c>
      <c r="E383" s="163">
        <f>'патриотика0,3664'!D491</f>
        <v>0.3664</v>
      </c>
    </row>
    <row r="384" spans="1:5" hidden="1" x14ac:dyDescent="0.25">
      <c r="A384" s="772"/>
      <c r="B384" s="770"/>
      <c r="C384" s="108">
        <f>'натур показатели инновации+добр'!C366</f>
        <v>0</v>
      </c>
      <c r="D384" s="67" t="s">
        <v>84</v>
      </c>
      <c r="E384" s="163">
        <f>'патриотика0,3664'!D492</f>
        <v>0.3664</v>
      </c>
    </row>
    <row r="385" spans="1:5" hidden="1" x14ac:dyDescent="0.25">
      <c r="A385" s="772"/>
      <c r="B385" s="770"/>
      <c r="C385" s="108">
        <f>'натур показатели инновации+добр'!C367</f>
        <v>0</v>
      </c>
      <c r="D385" s="67" t="s">
        <v>84</v>
      </c>
      <c r="E385" s="163">
        <f>'патриотика0,3664'!D493</f>
        <v>0.3664</v>
      </c>
    </row>
    <row r="386" spans="1:5" hidden="1" x14ac:dyDescent="0.25">
      <c r="A386" s="772"/>
      <c r="B386" s="770"/>
      <c r="C386" s="108">
        <f>'натур показатели инновации+добр'!C368</f>
        <v>0</v>
      </c>
      <c r="D386" s="67" t="s">
        <v>84</v>
      </c>
      <c r="E386" s="163">
        <f>'патриотика0,3664'!D494</f>
        <v>0.3664</v>
      </c>
    </row>
    <row r="387" spans="1:5" hidden="1" x14ac:dyDescent="0.25">
      <c r="A387" s="772"/>
      <c r="B387" s="770"/>
      <c r="C387" s="108">
        <f>'натур показатели инновации+добр'!C369</f>
        <v>0</v>
      </c>
      <c r="D387" s="67" t="s">
        <v>84</v>
      </c>
      <c r="E387" s="163">
        <f>'патриотика0,3664'!D495</f>
        <v>0.3664</v>
      </c>
    </row>
    <row r="388" spans="1:5" hidden="1" x14ac:dyDescent="0.25">
      <c r="A388" s="772"/>
      <c r="B388" s="770"/>
      <c r="C388" s="108">
        <f>'натур показатели инновации+добр'!C370</f>
        <v>0</v>
      </c>
      <c r="D388" s="67" t="s">
        <v>84</v>
      </c>
      <c r="E388" s="163">
        <f>'патриотика0,3664'!D496</f>
        <v>0.3664</v>
      </c>
    </row>
    <row r="389" spans="1:5" hidden="1" x14ac:dyDescent="0.25">
      <c r="A389" s="772"/>
      <c r="B389" s="770"/>
      <c r="C389" s="108">
        <f>'натур показатели инновации+добр'!C371</f>
        <v>0</v>
      </c>
      <c r="D389" s="67" t="s">
        <v>84</v>
      </c>
      <c r="E389" s="163">
        <f>'патриотика0,3664'!D497</f>
        <v>0.3664</v>
      </c>
    </row>
    <row r="390" spans="1:5" hidden="1" x14ac:dyDescent="0.25">
      <c r="A390" s="772"/>
      <c r="B390" s="770"/>
      <c r="C390" s="108">
        <f>'натур показатели инновации+добр'!C372</f>
        <v>0</v>
      </c>
      <c r="D390" s="67" t="s">
        <v>84</v>
      </c>
      <c r="E390" s="163">
        <f>'патриотика0,3664'!D498</f>
        <v>0.3664</v>
      </c>
    </row>
    <row r="391" spans="1:5" hidden="1" x14ac:dyDescent="0.25">
      <c r="A391" s="772"/>
      <c r="B391" s="770"/>
      <c r="C391" s="108">
        <f>'натур показатели инновации+добр'!C373</f>
        <v>0</v>
      </c>
      <c r="D391" s="67" t="s">
        <v>84</v>
      </c>
      <c r="E391" s="163">
        <f>'патриотика0,3664'!D499</f>
        <v>0.3664</v>
      </c>
    </row>
    <row r="392" spans="1:5" hidden="1" x14ac:dyDescent="0.25">
      <c r="A392" s="772"/>
      <c r="B392" s="770"/>
      <c r="C392" s="108">
        <f>'натур показатели инновации+добр'!C374</f>
        <v>0</v>
      </c>
      <c r="D392" s="67" t="s">
        <v>84</v>
      </c>
      <c r="E392" s="163">
        <f>'патриотика0,3664'!D500</f>
        <v>0.3664</v>
      </c>
    </row>
    <row r="393" spans="1:5" hidden="1" x14ac:dyDescent="0.25">
      <c r="A393" s="772"/>
      <c r="B393" s="770"/>
      <c r="C393" s="108">
        <f>'натур показатели инновации+добр'!C375</f>
        <v>0</v>
      </c>
      <c r="D393" s="67" t="s">
        <v>84</v>
      </c>
      <c r="E393" s="163">
        <f>'патриотика0,3664'!D501</f>
        <v>0.3664</v>
      </c>
    </row>
    <row r="394" spans="1:5" hidden="1" x14ac:dyDescent="0.25">
      <c r="A394" s="772"/>
      <c r="B394" s="770"/>
      <c r="C394" s="108">
        <f>'натур показатели инновации+добр'!C376</f>
        <v>0</v>
      </c>
      <c r="D394" s="67" t="s">
        <v>84</v>
      </c>
      <c r="E394" s="163">
        <f>'патриотика0,3664'!D502</f>
        <v>0.3664</v>
      </c>
    </row>
    <row r="395" spans="1:5" hidden="1" x14ac:dyDescent="0.25">
      <c r="A395" s="772"/>
      <c r="B395" s="770"/>
      <c r="C395" s="108">
        <f>'натур показатели инновации+добр'!C377</f>
        <v>0</v>
      </c>
      <c r="D395" s="67" t="s">
        <v>84</v>
      </c>
      <c r="E395" s="163">
        <f>'патриотика0,3664'!D503</f>
        <v>0.3664</v>
      </c>
    </row>
    <row r="396" spans="1:5" hidden="1" x14ac:dyDescent="0.25">
      <c r="A396" s="772"/>
      <c r="B396" s="770"/>
      <c r="C396" s="108">
        <f>'натур показатели инновации+добр'!C378</f>
        <v>0</v>
      </c>
      <c r="D396" s="67" t="s">
        <v>84</v>
      </c>
      <c r="E396" s="163">
        <f>'патриотика0,3664'!D504</f>
        <v>0.3664</v>
      </c>
    </row>
    <row r="397" spans="1:5" hidden="1" x14ac:dyDescent="0.25">
      <c r="A397" s="772"/>
      <c r="B397" s="770"/>
      <c r="C397" s="108">
        <f>'натур показатели инновации+добр'!C379</f>
        <v>0</v>
      </c>
      <c r="D397" s="67" t="s">
        <v>84</v>
      </c>
      <c r="E397" s="163">
        <f>'патриотика0,3664'!D505</f>
        <v>0.3664</v>
      </c>
    </row>
    <row r="398" spans="1:5" hidden="1" x14ac:dyDescent="0.25">
      <c r="A398" s="772"/>
      <c r="B398" s="770"/>
      <c r="C398" s="108">
        <f>'натур показатели инновации+добр'!C380</f>
        <v>0</v>
      </c>
      <c r="D398" s="67" t="s">
        <v>84</v>
      </c>
      <c r="E398" s="163">
        <f>'патриотика0,3664'!D506</f>
        <v>0.3664</v>
      </c>
    </row>
    <row r="399" spans="1:5" hidden="1" x14ac:dyDescent="0.25">
      <c r="A399" s="772"/>
      <c r="B399" s="770"/>
      <c r="C399" s="108">
        <f>'натур показатели инновации+добр'!C381</f>
        <v>0</v>
      </c>
      <c r="D399" s="67" t="s">
        <v>84</v>
      </c>
      <c r="E399" s="163">
        <f>'патриотика0,3664'!D507</f>
        <v>0.3664</v>
      </c>
    </row>
    <row r="400" spans="1:5" hidden="1" x14ac:dyDescent="0.25">
      <c r="A400" s="772"/>
      <c r="B400" s="770"/>
      <c r="C400" s="108">
        <f>'натур показатели инновации+добр'!C382</f>
        <v>0</v>
      </c>
      <c r="D400" s="67" t="s">
        <v>84</v>
      </c>
      <c r="E400" s="163">
        <f>'патриотика0,3664'!D508</f>
        <v>0.3664</v>
      </c>
    </row>
    <row r="401" spans="1:5" hidden="1" x14ac:dyDescent="0.25">
      <c r="A401" s="772"/>
      <c r="B401" s="770"/>
      <c r="C401" s="108">
        <f>'натур показатели инновации+добр'!C383</f>
        <v>0</v>
      </c>
      <c r="D401" s="67" t="s">
        <v>84</v>
      </c>
      <c r="E401" s="163">
        <f>'патриотика0,3664'!D509</f>
        <v>0.3664</v>
      </c>
    </row>
    <row r="402" spans="1:5" hidden="1" x14ac:dyDescent="0.25">
      <c r="A402" s="772"/>
      <c r="B402" s="770"/>
      <c r="C402" s="108">
        <f>'натур показатели инновации+добр'!C384</f>
        <v>0</v>
      </c>
      <c r="D402" s="67" t="s">
        <v>84</v>
      </c>
      <c r="E402" s="163">
        <f>'патриотика0,3664'!D510</f>
        <v>0.3664</v>
      </c>
    </row>
    <row r="403" spans="1:5" hidden="1" x14ac:dyDescent="0.25">
      <c r="A403" s="772"/>
      <c r="B403" s="770"/>
      <c r="C403" s="108">
        <f>'натур показатели инновации+добр'!C385</f>
        <v>0</v>
      </c>
      <c r="D403" s="67" t="s">
        <v>84</v>
      </c>
      <c r="E403" s="163">
        <f>'патриотика0,3664'!D511</f>
        <v>0.3664</v>
      </c>
    </row>
    <row r="404" spans="1:5" hidden="1" x14ac:dyDescent="0.25">
      <c r="A404" s="772"/>
      <c r="B404" s="770"/>
      <c r="C404" s="108">
        <f>'натур показатели инновации+добр'!C386</f>
        <v>0</v>
      </c>
      <c r="D404" s="67" t="s">
        <v>84</v>
      </c>
      <c r="E404" s="163">
        <f>'патриотика0,3664'!D512</f>
        <v>0.3664</v>
      </c>
    </row>
    <row r="405" spans="1:5" hidden="1" x14ac:dyDescent="0.25">
      <c r="A405" s="772"/>
      <c r="B405" s="770"/>
      <c r="C405" s="108">
        <f>'натур показатели инновации+добр'!C387</f>
        <v>0</v>
      </c>
      <c r="D405" s="67" t="s">
        <v>84</v>
      </c>
      <c r="E405" s="163">
        <f>'патриотика0,3664'!D513</f>
        <v>0.3664</v>
      </c>
    </row>
    <row r="406" spans="1:5" hidden="1" x14ac:dyDescent="0.25">
      <c r="A406" s="772"/>
      <c r="B406" s="770"/>
      <c r="C406" s="108">
        <f>'натур показатели инновации+добр'!C388</f>
        <v>0</v>
      </c>
      <c r="D406" s="67" t="s">
        <v>84</v>
      </c>
      <c r="E406" s="163">
        <f>'патриотика0,3664'!D514</f>
        <v>0.3664</v>
      </c>
    </row>
    <row r="407" spans="1:5" hidden="1" x14ac:dyDescent="0.25">
      <c r="A407" s="772"/>
      <c r="B407" s="770"/>
      <c r="C407" s="108">
        <f>'натур показатели инновации+добр'!C389</f>
        <v>0</v>
      </c>
      <c r="D407" s="67" t="s">
        <v>84</v>
      </c>
      <c r="E407" s="163">
        <f>'патриотика0,3664'!D515</f>
        <v>0.3664</v>
      </c>
    </row>
    <row r="408" spans="1:5" hidden="1" x14ac:dyDescent="0.25">
      <c r="A408" s="772"/>
      <c r="B408" s="770"/>
      <c r="C408" s="108">
        <f>'натур показатели инновации+добр'!C390</f>
        <v>0</v>
      </c>
      <c r="D408" s="67" t="s">
        <v>84</v>
      </c>
      <c r="E408" s="163">
        <f>'патриотика0,3664'!D516</f>
        <v>0.3664</v>
      </c>
    </row>
    <row r="409" spans="1:5" hidden="1" x14ac:dyDescent="0.25">
      <c r="A409" s="772"/>
      <c r="B409" s="770"/>
      <c r="C409" s="108">
        <f>'натур показатели инновации+добр'!C391</f>
        <v>0</v>
      </c>
      <c r="D409" s="67" t="s">
        <v>84</v>
      </c>
      <c r="E409" s="163">
        <f>'патриотика0,3664'!D517</f>
        <v>0.3664</v>
      </c>
    </row>
    <row r="410" spans="1:5" hidden="1" x14ac:dyDescent="0.25">
      <c r="A410" s="772"/>
      <c r="B410" s="770"/>
      <c r="C410" s="108">
        <f>'натур показатели инновации+добр'!C392</f>
        <v>0</v>
      </c>
      <c r="D410" s="67" t="s">
        <v>84</v>
      </c>
      <c r="E410" s="163">
        <f>'патриотика0,3664'!D518</f>
        <v>0.3664</v>
      </c>
    </row>
    <row r="411" spans="1:5" hidden="1" x14ac:dyDescent="0.25">
      <c r="A411" s="772"/>
      <c r="B411" s="770"/>
      <c r="C411" s="108">
        <f>'натур показатели инновации+добр'!C393</f>
        <v>0</v>
      </c>
      <c r="D411" s="67" t="s">
        <v>84</v>
      </c>
      <c r="E411" s="163">
        <f>'патриотика0,3664'!D519</f>
        <v>0.3664</v>
      </c>
    </row>
    <row r="412" spans="1:5" hidden="1" x14ac:dyDescent="0.25">
      <c r="A412" s="772"/>
      <c r="B412" s="770"/>
      <c r="C412" s="108">
        <f>'натур показатели инновации+добр'!C394</f>
        <v>0</v>
      </c>
      <c r="D412" s="67" t="s">
        <v>84</v>
      </c>
      <c r="E412" s="163">
        <f>'патриотика0,3664'!D520</f>
        <v>0.3664</v>
      </c>
    </row>
    <row r="413" spans="1:5" hidden="1" x14ac:dyDescent="0.25">
      <c r="A413" s="772"/>
      <c r="B413" s="770"/>
      <c r="C413" s="108">
        <f>'натур показатели инновации+добр'!C395</f>
        <v>0</v>
      </c>
      <c r="D413" s="67" t="s">
        <v>84</v>
      </c>
      <c r="E413" s="163">
        <f>'патриотика0,3664'!D521</f>
        <v>0.3664</v>
      </c>
    </row>
    <row r="414" spans="1:5" hidden="1" x14ac:dyDescent="0.25">
      <c r="A414" s="772"/>
      <c r="B414" s="770"/>
      <c r="C414" s="108">
        <f>'натур показатели инновации+добр'!C396</f>
        <v>0</v>
      </c>
      <c r="D414" s="67" t="s">
        <v>84</v>
      </c>
      <c r="E414" s="163">
        <f>'патриотика0,3664'!D522</f>
        <v>0.3664</v>
      </c>
    </row>
    <row r="415" spans="1:5" hidden="1" x14ac:dyDescent="0.25">
      <c r="A415" s="772"/>
      <c r="B415" s="770"/>
      <c r="C415" s="108">
        <f>'натур показатели инновации+добр'!C397</f>
        <v>0</v>
      </c>
      <c r="D415" s="67" t="s">
        <v>84</v>
      </c>
      <c r="E415" s="163">
        <f>'патриотика0,3664'!D523</f>
        <v>0.3664</v>
      </c>
    </row>
    <row r="416" spans="1:5" hidden="1" x14ac:dyDescent="0.25">
      <c r="A416" s="772"/>
      <c r="B416" s="770"/>
      <c r="C416" s="108">
        <f>'натур показатели инновации+добр'!C398</f>
        <v>0</v>
      </c>
      <c r="D416" s="67" t="s">
        <v>84</v>
      </c>
      <c r="E416" s="163">
        <f>'патриотика0,3664'!D524</f>
        <v>0.3664</v>
      </c>
    </row>
    <row r="417" spans="1:5" hidden="1" x14ac:dyDescent="0.25">
      <c r="A417" s="772"/>
      <c r="B417" s="770"/>
      <c r="C417" s="108">
        <f>'натур показатели инновации+добр'!C399</f>
        <v>0</v>
      </c>
      <c r="D417" s="67" t="s">
        <v>84</v>
      </c>
      <c r="E417" s="163">
        <f>'патриотика0,3664'!D525</f>
        <v>0.3664</v>
      </c>
    </row>
    <row r="418" spans="1:5" hidden="1" x14ac:dyDescent="0.25">
      <c r="A418" s="772"/>
      <c r="B418" s="770"/>
      <c r="C418" s="108">
        <f>'натур показатели инновации+добр'!C400</f>
        <v>0</v>
      </c>
      <c r="D418" s="67" t="s">
        <v>84</v>
      </c>
      <c r="E418" s="163">
        <f>'патриотика0,3664'!D526</f>
        <v>0.3664</v>
      </c>
    </row>
    <row r="419" spans="1:5" hidden="1" x14ac:dyDescent="0.25">
      <c r="A419" s="772"/>
      <c r="B419" s="770"/>
      <c r="C419" s="108">
        <f>'натур показатели инновации+добр'!C401</f>
        <v>0</v>
      </c>
      <c r="D419" s="67" t="s">
        <v>84</v>
      </c>
      <c r="E419" s="163">
        <f>'патриотика0,3664'!D527</f>
        <v>0.3664</v>
      </c>
    </row>
    <row r="420" spans="1:5" hidden="1" x14ac:dyDescent="0.25">
      <c r="B420" s="770"/>
      <c r="C420" s="108"/>
      <c r="D420" s="67"/>
      <c r="E420" s="163"/>
    </row>
  </sheetData>
  <mergeCells count="18">
    <mergeCell ref="C11:E11"/>
    <mergeCell ref="C15:E15"/>
    <mergeCell ref="D1:E1"/>
    <mergeCell ref="A3:E3"/>
    <mergeCell ref="A4:E4"/>
    <mergeCell ref="C7:E7"/>
    <mergeCell ref="C8:E8"/>
    <mergeCell ref="B7:B420"/>
    <mergeCell ref="A7:A419"/>
    <mergeCell ref="C117:E117"/>
    <mergeCell ref="C178:E178"/>
    <mergeCell ref="C180:E180"/>
    <mergeCell ref="C118:E118"/>
    <mergeCell ref="C125:E125"/>
    <mergeCell ref="C159:E159"/>
    <mergeCell ref="C167:E167"/>
    <mergeCell ref="C172:E172"/>
    <mergeCell ref="C174:E174"/>
  </mergeCells>
  <pageMargins left="0.70866141732283472" right="0.70866141732283472" top="0.19" bottom="0.16" header="0.31496062992125984" footer="0.31496062992125984"/>
  <pageSetup paperSize="9" scale="58" fitToHeight="4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DR535"/>
  <sheetViews>
    <sheetView view="pageBreakPreview" topLeftCell="A167" zoomScale="78" zoomScaleNormal="70" zoomScaleSheetLayoutView="78" zoomScalePageLayoutView="80" workbookViewId="0">
      <selection activeCell="G209" sqref="G209"/>
    </sheetView>
  </sheetViews>
  <sheetFormatPr defaultColWidth="25.375" defaultRowHeight="15.75" x14ac:dyDescent="0.25"/>
  <cols>
    <col min="1" max="1" width="72" style="7" customWidth="1"/>
    <col min="2" max="2" width="19" style="7" customWidth="1"/>
    <col min="3" max="3" width="19" style="7" hidden="1" customWidth="1"/>
    <col min="4" max="4" width="19.25" style="7" customWidth="1"/>
    <col min="5" max="5" width="22" style="7" customWidth="1"/>
    <col min="6" max="6" width="21" style="7" customWidth="1"/>
    <col min="7" max="7" width="23.375" style="7" customWidth="1"/>
    <col min="8" max="16384" width="25.375" style="7"/>
  </cols>
  <sheetData>
    <row r="1" spans="1:122" ht="18.75" x14ac:dyDescent="0.25">
      <c r="A1" s="822" t="s">
        <v>46</v>
      </c>
      <c r="B1" s="822"/>
      <c r="C1" s="822"/>
      <c r="D1" s="822"/>
      <c r="E1" s="822"/>
      <c r="F1" s="822"/>
      <c r="G1" s="822"/>
      <c r="H1" s="822"/>
    </row>
    <row r="2" spans="1:122" ht="18.75" x14ac:dyDescent="0.25">
      <c r="A2" s="350" t="str">
        <f>'таланты+инициативы0,2672'!A2</f>
        <v>на 21.10.2022 год</v>
      </c>
      <c r="B2" s="350"/>
      <c r="C2" s="350"/>
      <c r="D2" s="350"/>
      <c r="E2" s="350"/>
      <c r="F2" s="350"/>
      <c r="G2" s="350"/>
      <c r="H2" s="350"/>
    </row>
    <row r="3" spans="1:122" ht="57.6" customHeight="1" x14ac:dyDescent="0.25">
      <c r="A3" s="8" t="s">
        <v>213</v>
      </c>
      <c r="B3" s="830" t="s">
        <v>49</v>
      </c>
      <c r="C3" s="830"/>
      <c r="D3" s="830"/>
      <c r="E3" s="830"/>
      <c r="F3" s="830"/>
      <c r="G3" s="830"/>
      <c r="I3" s="442"/>
      <c r="J3" s="442"/>
      <c r="K3" s="442"/>
      <c r="L3" s="442"/>
      <c r="M3" s="442"/>
      <c r="N3" s="442"/>
      <c r="O3" s="442"/>
      <c r="P3" s="442"/>
      <c r="Q3" s="442"/>
      <c r="R3" s="442"/>
      <c r="S3" s="442"/>
      <c r="T3" s="442"/>
      <c r="U3" s="442"/>
      <c r="V3" s="442"/>
      <c r="W3" s="442"/>
      <c r="X3" s="442"/>
      <c r="Y3" s="442"/>
      <c r="Z3" s="442"/>
      <c r="AA3" s="442"/>
      <c r="AB3" s="442"/>
      <c r="AC3" s="442"/>
      <c r="AD3" s="442"/>
      <c r="AE3" s="442"/>
      <c r="AF3" s="442"/>
      <c r="AG3" s="442"/>
      <c r="AH3" s="442"/>
      <c r="AI3" s="442"/>
      <c r="AJ3" s="442"/>
      <c r="AK3" s="442"/>
      <c r="AL3" s="442"/>
      <c r="AM3" s="442"/>
      <c r="AN3" s="442"/>
      <c r="AO3" s="442"/>
      <c r="AP3" s="442"/>
      <c r="AQ3" s="442"/>
      <c r="AR3" s="442"/>
      <c r="AS3" s="442"/>
      <c r="AT3" s="442"/>
      <c r="AU3" s="442"/>
      <c r="AV3" s="442"/>
      <c r="AW3" s="442"/>
      <c r="AX3" s="442"/>
      <c r="AY3" s="442"/>
      <c r="AZ3" s="442"/>
      <c r="BA3" s="442"/>
      <c r="BB3" s="442"/>
      <c r="BC3" s="442"/>
      <c r="BD3" s="442"/>
      <c r="BE3" s="442"/>
      <c r="BF3" s="442"/>
      <c r="BG3" s="442"/>
      <c r="BH3" s="442"/>
      <c r="BI3" s="442"/>
      <c r="BJ3" s="442"/>
      <c r="BK3" s="442"/>
      <c r="BL3" s="442"/>
      <c r="BM3" s="442"/>
      <c r="BN3" s="442"/>
      <c r="BO3" s="442"/>
      <c r="BP3" s="442"/>
      <c r="BQ3" s="442"/>
      <c r="BR3" s="442"/>
      <c r="BS3" s="442"/>
      <c r="BT3" s="442"/>
      <c r="BU3" s="442"/>
      <c r="BV3" s="442"/>
      <c r="BW3" s="442"/>
      <c r="BX3" s="442"/>
      <c r="BY3" s="442"/>
      <c r="BZ3" s="442"/>
      <c r="CA3" s="442"/>
      <c r="CB3" s="442"/>
      <c r="CC3" s="442"/>
      <c r="CD3" s="442"/>
      <c r="CE3" s="442"/>
      <c r="CF3" s="442"/>
      <c r="CG3" s="442"/>
      <c r="CH3" s="442"/>
      <c r="CI3" s="442"/>
      <c r="CJ3" s="442"/>
      <c r="CK3" s="442"/>
      <c r="CL3" s="442"/>
      <c r="CM3" s="442"/>
      <c r="CN3" s="442"/>
      <c r="CO3" s="442"/>
      <c r="CP3" s="442"/>
      <c r="CQ3" s="442"/>
      <c r="CR3" s="442"/>
      <c r="CS3" s="442"/>
      <c r="CT3" s="442"/>
      <c r="CU3" s="442"/>
      <c r="CV3" s="442"/>
      <c r="CW3" s="442"/>
      <c r="CX3" s="442"/>
      <c r="CY3" s="442"/>
      <c r="CZ3" s="442"/>
      <c r="DA3" s="442"/>
      <c r="DB3" s="442"/>
      <c r="DC3" s="442"/>
      <c r="DD3" s="442"/>
      <c r="DE3" s="442"/>
      <c r="DF3" s="442"/>
      <c r="DG3" s="442"/>
      <c r="DH3" s="442"/>
      <c r="DI3" s="442"/>
      <c r="DJ3" s="442"/>
      <c r="DK3" s="442"/>
      <c r="DL3" s="442"/>
      <c r="DM3" s="442"/>
      <c r="DN3" s="442"/>
      <c r="DO3" s="442"/>
      <c r="DP3" s="442"/>
      <c r="DQ3" s="442"/>
      <c r="DR3" s="442"/>
    </row>
    <row r="4" spans="1:122" x14ac:dyDescent="0.25">
      <c r="A4" s="815" t="s">
        <v>186</v>
      </c>
      <c r="B4" s="815"/>
      <c r="C4" s="815"/>
      <c r="D4" s="815"/>
      <c r="E4" s="815"/>
    </row>
    <row r="5" spans="1:122" x14ac:dyDescent="0.25">
      <c r="A5" s="816" t="s">
        <v>43</v>
      </c>
      <c r="B5" s="816"/>
      <c r="C5" s="816"/>
      <c r="D5" s="816"/>
      <c r="E5" s="816"/>
    </row>
    <row r="6" spans="1:122" x14ac:dyDescent="0.25">
      <c r="A6" s="816" t="s">
        <v>199</v>
      </c>
      <c r="B6" s="816"/>
      <c r="C6" s="816"/>
      <c r="D6" s="816"/>
      <c r="E6" s="816"/>
    </row>
    <row r="7" spans="1:122" x14ac:dyDescent="0.25">
      <c r="A7" s="669" t="s">
        <v>218</v>
      </c>
      <c r="B7" s="669"/>
      <c r="C7" s="669"/>
      <c r="D7" s="669"/>
      <c r="E7" s="669"/>
    </row>
    <row r="8" spans="1:122" ht="31.15" customHeight="1" x14ac:dyDescent="0.25">
      <c r="A8" s="99" t="s">
        <v>34</v>
      </c>
      <c r="B8" s="68" t="s">
        <v>9</v>
      </c>
      <c r="C8" s="69"/>
      <c r="D8" s="670" t="s">
        <v>10</v>
      </c>
      <c r="E8" s="671"/>
      <c r="F8" s="306" t="s">
        <v>9</v>
      </c>
    </row>
    <row r="9" spans="1:122" x14ac:dyDescent="0.25">
      <c r="A9" s="99"/>
      <c r="B9" s="353"/>
      <c r="C9" s="353"/>
      <c r="D9" s="672" t="str">
        <f>'инновации+добровольчество0,3664'!D10:E10</f>
        <v>Заведующий МЦ</v>
      </c>
      <c r="E9" s="673"/>
      <c r="F9" s="70">
        <v>1</v>
      </c>
    </row>
    <row r="10" spans="1:122" x14ac:dyDescent="0.25">
      <c r="A10" s="68" t="s">
        <v>140</v>
      </c>
      <c r="B10" s="353">
        <v>5.6</v>
      </c>
      <c r="C10" s="353"/>
      <c r="D10" s="674" t="str">
        <f>'[1]2016'!$AE$25</f>
        <v>Водитель</v>
      </c>
      <c r="E10" s="675"/>
      <c r="F10" s="353">
        <v>1</v>
      </c>
    </row>
    <row r="11" spans="1:122" x14ac:dyDescent="0.25">
      <c r="A11" s="68" t="s">
        <v>93</v>
      </c>
      <c r="B11" s="353">
        <v>1</v>
      </c>
      <c r="C11" s="353"/>
      <c r="D11" s="674" t="s">
        <v>87</v>
      </c>
      <c r="E11" s="675"/>
      <c r="F11" s="353">
        <v>0.5</v>
      </c>
    </row>
    <row r="12" spans="1:122" x14ac:dyDescent="0.25">
      <c r="A12" s="99"/>
      <c r="B12" s="353"/>
      <c r="C12" s="353"/>
      <c r="D12" s="674" t="str">
        <f>'[1]2016'!$AE$26</f>
        <v xml:space="preserve">Уборщик служебных помещений </v>
      </c>
      <c r="E12" s="675"/>
      <c r="F12" s="353">
        <v>1</v>
      </c>
    </row>
    <row r="13" spans="1:122" x14ac:dyDescent="0.25">
      <c r="A13" s="71" t="s">
        <v>57</v>
      </c>
      <c r="B13" s="72">
        <f>SUM(B9:B10)+B11</f>
        <v>6.6</v>
      </c>
      <c r="C13" s="71"/>
      <c r="D13" s="676" t="s">
        <v>57</v>
      </c>
      <c r="E13" s="677"/>
      <c r="F13" s="72">
        <f>SUM(F9:F12)</f>
        <v>3.5</v>
      </c>
    </row>
    <row r="14" spans="1:122" x14ac:dyDescent="0.25">
      <c r="A14" s="9" t="str">
        <f>'таланты+инициативы0,2672'!A14:I14</f>
        <v>Затраты на оплату труда работников, непосредственно связанных с выполнением работы</v>
      </c>
    </row>
    <row r="15" spans="1:122" x14ac:dyDescent="0.25">
      <c r="A15" s="824" t="s">
        <v>333</v>
      </c>
      <c r="B15" s="824"/>
      <c r="C15" s="824"/>
      <c r="D15" s="824"/>
      <c r="E15" s="824"/>
      <c r="F15" s="824"/>
    </row>
    <row r="16" spans="1:122" x14ac:dyDescent="0.25">
      <c r="A16" s="10" t="s">
        <v>329</v>
      </c>
      <c r="B16" s="10"/>
      <c r="C16" s="10"/>
      <c r="D16" s="10"/>
    </row>
    <row r="17" spans="1:11" x14ac:dyDescent="0.25">
      <c r="A17" s="825" t="s">
        <v>45</v>
      </c>
      <c r="B17" s="825"/>
      <c r="C17" s="825"/>
      <c r="D17" s="825"/>
      <c r="E17" s="825"/>
      <c r="F17" s="825"/>
    </row>
    <row r="18" spans="1:11" x14ac:dyDescent="0.25">
      <c r="A18" s="823"/>
      <c r="B18" s="823"/>
      <c r="C18" s="351"/>
      <c r="D18" s="150">
        <v>0.3664</v>
      </c>
      <c r="E18" s="151"/>
    </row>
    <row r="19" spans="1:11" ht="22.9" customHeight="1" x14ac:dyDescent="0.25">
      <c r="A19" s="795" t="s">
        <v>0</v>
      </c>
      <c r="B19" s="795" t="s">
        <v>1</v>
      </c>
      <c r="C19" s="343"/>
      <c r="D19" s="795" t="s">
        <v>2</v>
      </c>
      <c r="E19" s="796" t="s">
        <v>3</v>
      </c>
      <c r="F19" s="797"/>
      <c r="G19" s="795" t="s">
        <v>35</v>
      </c>
      <c r="H19" s="343" t="s">
        <v>5</v>
      </c>
      <c r="I19" s="795" t="s">
        <v>6</v>
      </c>
    </row>
    <row r="20" spans="1:11" ht="31.5" x14ac:dyDescent="0.25">
      <c r="A20" s="795"/>
      <c r="B20" s="795"/>
      <c r="C20" s="343"/>
      <c r="D20" s="795"/>
      <c r="E20" s="343" t="s">
        <v>330</v>
      </c>
      <c r="F20" s="343" t="s">
        <v>319</v>
      </c>
      <c r="G20" s="795"/>
      <c r="H20" s="324" t="s">
        <v>171</v>
      </c>
      <c r="I20" s="795"/>
    </row>
    <row r="21" spans="1:11" x14ac:dyDescent="0.25">
      <c r="A21" s="795"/>
      <c r="B21" s="795"/>
      <c r="C21" s="343"/>
      <c r="D21" s="795"/>
      <c r="E21" s="343" t="s">
        <v>4</v>
      </c>
      <c r="F21" s="152"/>
      <c r="G21" s="795"/>
      <c r="H21" s="343" t="s">
        <v>332</v>
      </c>
      <c r="I21" s="795"/>
    </row>
    <row r="22" spans="1:11" x14ac:dyDescent="0.25">
      <c r="A22" s="795">
        <v>1</v>
      </c>
      <c r="B22" s="795">
        <v>2</v>
      </c>
      <c r="C22" s="343"/>
      <c r="D22" s="795">
        <v>3</v>
      </c>
      <c r="E22" s="795" t="s">
        <v>331</v>
      </c>
      <c r="F22" s="818">
        <v>5</v>
      </c>
      <c r="G22" s="646" t="s">
        <v>7</v>
      </c>
      <c r="H22" s="324" t="s">
        <v>172</v>
      </c>
      <c r="I22" s="646" t="s">
        <v>173</v>
      </c>
    </row>
    <row r="23" spans="1:11" x14ac:dyDescent="0.25">
      <c r="A23" s="795"/>
      <c r="B23" s="795"/>
      <c r="C23" s="343"/>
      <c r="D23" s="795"/>
      <c r="E23" s="795"/>
      <c r="F23" s="819"/>
      <c r="G23" s="646"/>
      <c r="H23" s="54">
        <v>1775.4</v>
      </c>
      <c r="I23" s="646"/>
    </row>
    <row r="24" spans="1:11" x14ac:dyDescent="0.25">
      <c r="A24" s="73" t="s">
        <v>93</v>
      </c>
      <c r="B24" s="87">
        <f>'таланты+инициативы0,2672'!B24</f>
        <v>70163.8</v>
      </c>
      <c r="C24" s="85"/>
      <c r="D24" s="343">
        <f>1*D18</f>
        <v>0.3664</v>
      </c>
      <c r="E24" s="74">
        <f>D24*1774.4</f>
        <v>650.14016000000004</v>
      </c>
      <c r="F24" s="75">
        <v>1</v>
      </c>
      <c r="G24" s="74">
        <f>E24/F24</f>
        <v>650.14016000000004</v>
      </c>
      <c r="H24" s="74">
        <f>B24*1.302/1774.4*12</f>
        <v>617.80839224526608</v>
      </c>
      <c r="I24" s="74">
        <f>G24*H24+26380.99</f>
        <v>428043.03698368004</v>
      </c>
    </row>
    <row r="25" spans="1:11" x14ac:dyDescent="0.25">
      <c r="A25" s="76" t="str">
        <f>A10</f>
        <v>Специалист по работе с молодежью</v>
      </c>
      <c r="B25" s="87">
        <f>'таланты+инициативы0,2672'!B25</f>
        <v>50029.599999999999</v>
      </c>
      <c r="C25" s="174"/>
      <c r="D25" s="343">
        <f>D18*5.6</f>
        <v>2.0518399999999999</v>
      </c>
      <c r="E25" s="74">
        <f>D25*1774.4</f>
        <v>3640.7848960000001</v>
      </c>
      <c r="F25" s="75">
        <v>1</v>
      </c>
      <c r="G25" s="74">
        <f>E25/F25</f>
        <v>3640.7848960000001</v>
      </c>
      <c r="H25" s="74">
        <f>B25*1.302/1774.4*12</f>
        <v>440.52213165013529</v>
      </c>
      <c r="I25" s="74">
        <f>G25*H25+67095.35</f>
        <v>1670941.6732655363</v>
      </c>
    </row>
    <row r="26" spans="1:11" ht="18.75" x14ac:dyDescent="0.3">
      <c r="A26" s="796" t="s">
        <v>8</v>
      </c>
      <c r="B26" s="829"/>
      <c r="C26" s="829"/>
      <c r="D26" s="829"/>
      <c r="E26" s="829"/>
      <c r="F26" s="829"/>
      <c r="G26" s="829"/>
      <c r="H26" s="797"/>
      <c r="I26" s="425">
        <f>SUM(I24:I25)</f>
        <v>2098984.7102492163</v>
      </c>
      <c r="J26" s="162">
        <f>I26+I170</f>
        <v>3142779.4372587525</v>
      </c>
      <c r="K26" s="176" t="s">
        <v>104</v>
      </c>
    </row>
    <row r="27" spans="1:11" hidden="1" x14ac:dyDescent="0.25">
      <c r="A27" s="700" t="s">
        <v>166</v>
      </c>
      <c r="B27" s="700"/>
      <c r="C27" s="700"/>
      <c r="D27" s="700"/>
      <c r="E27" s="700"/>
      <c r="F27" s="700"/>
      <c r="G27" s="700"/>
      <c r="H27" s="700"/>
      <c r="I27" s="175"/>
      <c r="J27" s="176"/>
    </row>
    <row r="28" spans="1:11" hidden="1" x14ac:dyDescent="0.25">
      <c r="A28" s="649" t="s">
        <v>60</v>
      </c>
      <c r="B28" s="679" t="s">
        <v>155</v>
      </c>
      <c r="C28" s="679"/>
      <c r="D28" s="679" t="s">
        <v>156</v>
      </c>
      <c r="E28" s="679"/>
      <c r="F28" s="679"/>
      <c r="G28" s="680"/>
      <c r="H28" s="680"/>
      <c r="I28" s="175"/>
      <c r="J28" s="176"/>
    </row>
    <row r="29" spans="1:11" ht="16.5" hidden="1" customHeight="1" x14ac:dyDescent="0.25">
      <c r="A29" s="650"/>
      <c r="B29" s="679"/>
      <c r="C29" s="679"/>
      <c r="D29" s="679" t="s">
        <v>157</v>
      </c>
      <c r="E29" s="649" t="s">
        <v>158</v>
      </c>
      <c r="F29" s="807" t="s">
        <v>159</v>
      </c>
      <c r="G29" s="649" t="s">
        <v>165</v>
      </c>
      <c r="H29" s="649" t="s">
        <v>6</v>
      </c>
      <c r="I29" s="175"/>
      <c r="J29" s="176"/>
    </row>
    <row r="30" spans="1:11" hidden="1" x14ac:dyDescent="0.25">
      <c r="A30" s="651"/>
      <c r="B30" s="679"/>
      <c r="C30" s="679"/>
      <c r="D30" s="679"/>
      <c r="E30" s="651"/>
      <c r="F30" s="662"/>
      <c r="G30" s="651"/>
      <c r="H30" s="651"/>
      <c r="I30" s="175"/>
      <c r="J30" s="176"/>
    </row>
    <row r="31" spans="1:11" hidden="1" x14ac:dyDescent="0.25">
      <c r="A31" s="315">
        <v>1</v>
      </c>
      <c r="B31" s="663">
        <v>2</v>
      </c>
      <c r="C31" s="664"/>
      <c r="D31" s="315">
        <v>3</v>
      </c>
      <c r="E31" s="315">
        <v>4</v>
      </c>
      <c r="F31" s="315">
        <v>5</v>
      </c>
      <c r="G31" s="315">
        <v>6</v>
      </c>
      <c r="H31" s="315">
        <v>7</v>
      </c>
      <c r="I31" s="175"/>
      <c r="J31" s="176"/>
    </row>
    <row r="32" spans="1:11" hidden="1" x14ac:dyDescent="0.25">
      <c r="A32" s="313" t="s">
        <v>93</v>
      </c>
      <c r="B32" s="313">
        <v>0.39300000000000002</v>
      </c>
      <c r="C32" s="314">
        <v>1</v>
      </c>
      <c r="D32" s="145">
        <v>2074.6</v>
      </c>
      <c r="E32" s="109">
        <f t="shared" ref="E32:E33" si="0">D32*12</f>
        <v>24895.199999999997</v>
      </c>
      <c r="F32" s="145">
        <f>18363.9*0.393</f>
        <v>7217.0127000000011</v>
      </c>
      <c r="G32" s="178">
        <f>F32*30.2%</f>
        <v>2179.5378354000004</v>
      </c>
      <c r="H32" s="178">
        <f>F32+G32</f>
        <v>9396.5505354000015</v>
      </c>
      <c r="I32" s="175"/>
      <c r="J32" s="176"/>
    </row>
    <row r="33" spans="1:11" ht="15.6" hidden="1" customHeight="1" x14ac:dyDescent="0.25">
      <c r="A33" s="313" t="s">
        <v>161</v>
      </c>
      <c r="B33" s="663">
        <f>5.6*0.393</f>
        <v>2.2008000000000001</v>
      </c>
      <c r="C33" s="664"/>
      <c r="D33" s="145">
        <f>1302.85*B33</f>
        <v>2867.3122800000001</v>
      </c>
      <c r="E33" s="109">
        <f t="shared" si="0"/>
        <v>34407.747360000001</v>
      </c>
      <c r="F33" s="145">
        <f>64311.87*0.393</f>
        <v>25274.564910000001</v>
      </c>
      <c r="G33" s="178">
        <f>F33*30.2%</f>
        <v>7632.9186028200002</v>
      </c>
      <c r="H33" s="178">
        <f>F33+G33</f>
        <v>32907.483512819999</v>
      </c>
    </row>
    <row r="34" spans="1:11" ht="18.75" hidden="1" x14ac:dyDescent="0.25">
      <c r="A34" s="311"/>
      <c r="B34" s="678">
        <f>SUM(B32:C33)</f>
        <v>3.5937999999999999</v>
      </c>
      <c r="C34" s="678"/>
      <c r="D34" s="124">
        <f>SUM(D32:D33)</f>
        <v>4941.9122800000005</v>
      </c>
      <c r="E34" s="124">
        <f>SUM(E32:E33)</f>
        <v>59302.947359999998</v>
      </c>
      <c r="F34" s="124">
        <f>SUM(F32:F33)</f>
        <v>32491.57761</v>
      </c>
      <c r="G34" s="124">
        <f>SUM(G32:G33)</f>
        <v>9812.4564382200006</v>
      </c>
      <c r="H34" s="219"/>
    </row>
    <row r="35" spans="1:11" s="45" customFormat="1" ht="14.45" hidden="1" customHeight="1" x14ac:dyDescent="0.25">
      <c r="A35" s="700" t="s">
        <v>170</v>
      </c>
      <c r="B35" s="700"/>
      <c r="C35" s="700"/>
      <c r="D35" s="700"/>
      <c r="E35" s="700"/>
      <c r="F35" s="700"/>
      <c r="G35" s="700"/>
      <c r="H35" s="700"/>
      <c r="I35" s="146"/>
    </row>
    <row r="36" spans="1:11" s="45" customFormat="1" ht="28.9" hidden="1" customHeight="1" x14ac:dyDescent="0.25">
      <c r="A36" s="649" t="s">
        <v>60</v>
      </c>
      <c r="B36" s="679" t="s">
        <v>155</v>
      </c>
      <c r="C36" s="679"/>
      <c r="D36" s="658" t="s">
        <v>156</v>
      </c>
      <c r="E36" s="660"/>
      <c r="F36" s="316"/>
    </row>
    <row r="37" spans="1:11" s="45" customFormat="1" ht="14.45" hidden="1" customHeight="1" x14ac:dyDescent="0.25">
      <c r="A37" s="650"/>
      <c r="B37" s="679"/>
      <c r="C37" s="679"/>
      <c r="D37" s="679" t="s">
        <v>157</v>
      </c>
      <c r="E37" s="649" t="s">
        <v>165</v>
      </c>
      <c r="F37" s="649" t="s">
        <v>169</v>
      </c>
    </row>
    <row r="38" spans="1:11" s="45" customFormat="1" ht="15" hidden="1" x14ac:dyDescent="0.25">
      <c r="A38" s="651"/>
      <c r="B38" s="679"/>
      <c r="C38" s="679"/>
      <c r="D38" s="679"/>
      <c r="E38" s="651"/>
      <c r="F38" s="651"/>
    </row>
    <row r="39" spans="1:11" s="45" customFormat="1" ht="15" hidden="1" x14ac:dyDescent="0.25">
      <c r="A39" s="315">
        <v>1</v>
      </c>
      <c r="B39" s="663">
        <v>2</v>
      </c>
      <c r="C39" s="664"/>
      <c r="D39" s="315">
        <v>3</v>
      </c>
      <c r="E39" s="315">
        <v>6</v>
      </c>
      <c r="F39" s="315">
        <v>7</v>
      </c>
    </row>
    <row r="40" spans="1:11" s="45" customFormat="1" ht="15" hidden="1" x14ac:dyDescent="0.25">
      <c r="A40" s="313" t="s">
        <v>161</v>
      </c>
      <c r="B40" s="663">
        <f>B33</f>
        <v>2.2008000000000001</v>
      </c>
      <c r="C40" s="664"/>
      <c r="D40" s="145">
        <v>4218.1400000000003</v>
      </c>
      <c r="E40" s="178">
        <f>D40*30.2%</f>
        <v>1273.8782800000001</v>
      </c>
      <c r="F40" s="178">
        <f>(E40+D40)*B40*12+27.46</f>
        <v>145069.46596748798</v>
      </c>
    </row>
    <row r="41" spans="1:11" s="45" customFormat="1" ht="18.75" hidden="1" x14ac:dyDescent="0.25">
      <c r="A41" s="311"/>
      <c r="B41" s="678">
        <f>SUM(B40:C40)</f>
        <v>2.2008000000000001</v>
      </c>
      <c r="C41" s="678"/>
      <c r="D41" s="124">
        <f>SUM(D40:D40)</f>
        <v>4218.1400000000003</v>
      </c>
      <c r="E41" s="124">
        <f>SUM(E40:E40)</f>
        <v>1273.8782800000001</v>
      </c>
      <c r="F41" s="219"/>
    </row>
    <row r="42" spans="1:11" s="45" customFormat="1" ht="18.75" x14ac:dyDescent="0.25">
      <c r="A42" s="146"/>
      <c r="B42" s="146"/>
      <c r="C42" s="146"/>
      <c r="D42" s="206"/>
      <c r="E42" s="206"/>
      <c r="F42" s="208"/>
      <c r="J42" s="7">
        <v>2948801.56</v>
      </c>
      <c r="K42" s="175" t="s">
        <v>105</v>
      </c>
    </row>
    <row r="43" spans="1:11" x14ac:dyDescent="0.25">
      <c r="D43" s="153">
        <f>D18</f>
        <v>0.3664</v>
      </c>
      <c r="J43" s="162">
        <f>J42-J26</f>
        <v>-193977.87725875247</v>
      </c>
      <c r="K43" s="175" t="s">
        <v>117</v>
      </c>
    </row>
    <row r="44" spans="1:11" ht="24.6" hidden="1" customHeight="1" x14ac:dyDescent="0.25">
      <c r="A44" s="795" t="s">
        <v>120</v>
      </c>
      <c r="B44" s="795"/>
      <c r="C44" s="343"/>
      <c r="D44" s="343" t="s">
        <v>11</v>
      </c>
      <c r="E44" s="343" t="s">
        <v>48</v>
      </c>
      <c r="F44" s="343" t="s">
        <v>15</v>
      </c>
      <c r="G44" s="348" t="s">
        <v>6</v>
      </c>
    </row>
    <row r="45" spans="1:11" hidden="1" x14ac:dyDescent="0.25">
      <c r="A45" s="796">
        <v>1</v>
      </c>
      <c r="B45" s="797"/>
      <c r="C45" s="344"/>
      <c r="D45" s="343">
        <v>2</v>
      </c>
      <c r="E45" s="75">
        <v>3</v>
      </c>
      <c r="F45" s="343">
        <v>4</v>
      </c>
      <c r="G45" s="78" t="s">
        <v>68</v>
      </c>
    </row>
    <row r="46" spans="1:11" hidden="1" x14ac:dyDescent="0.25">
      <c r="A46" s="798" t="str">
        <f>'инновации+добровольчество0,3664'!A53</f>
        <v>Суточные</v>
      </c>
      <c r="B46" s="799"/>
      <c r="C46" s="346"/>
      <c r="D46" s="343" t="str">
        <f>'инновации+добровольчество0,3664'!D53</f>
        <v>сутки</v>
      </c>
      <c r="E46" s="222">
        <f>D43</f>
        <v>0.3664</v>
      </c>
      <c r="F46" s="356">
        <f>'инновации+добровольчество0,3664'!F53</f>
        <v>450</v>
      </c>
      <c r="G46" s="81">
        <f>E46*F46</f>
        <v>164.88</v>
      </c>
    </row>
    <row r="47" spans="1:11" hidden="1" x14ac:dyDescent="0.25">
      <c r="A47" s="798" t="str">
        <f>'инновации+добровольчество0,3664'!A54</f>
        <v>Проезд</v>
      </c>
      <c r="B47" s="799"/>
      <c r="C47" s="346"/>
      <c r="D47" s="343" t="str">
        <f>'инновации+добровольчество0,3664'!D54</f>
        <v xml:space="preserve">Ед. </v>
      </c>
      <c r="E47" s="222">
        <f>E46</f>
        <v>0.3664</v>
      </c>
      <c r="F47" s="356">
        <f>'инновации+добровольчество0,3664'!F54</f>
        <v>8200</v>
      </c>
      <c r="G47" s="81">
        <f>E47*F47</f>
        <v>3004.48</v>
      </c>
    </row>
    <row r="48" spans="1:11" hidden="1" x14ac:dyDescent="0.25">
      <c r="A48" s="798" t="str">
        <f>'инновации+добровольчество0,3664'!A55</f>
        <v xml:space="preserve">Проживание </v>
      </c>
      <c r="B48" s="799"/>
      <c r="C48" s="346"/>
      <c r="D48" s="343" t="str">
        <f>'инновации+добровольчество0,3664'!D55</f>
        <v>сутки</v>
      </c>
      <c r="E48" s="222">
        <f>E46</f>
        <v>0.3664</v>
      </c>
      <c r="F48" s="356">
        <f>'инновации+добровольчество0,3664'!F55</f>
        <v>1257.8399999999999</v>
      </c>
      <c r="G48" s="81">
        <f>E48*F48</f>
        <v>460.87257599999998</v>
      </c>
    </row>
    <row r="49" spans="1:10" hidden="1" x14ac:dyDescent="0.25">
      <c r="A49" s="345" t="e">
        <f>'инновации+добровольчество0,3664'!#REF!</f>
        <v>#REF!</v>
      </c>
      <c r="B49" s="221"/>
      <c r="C49" s="221"/>
      <c r="D49" s="343" t="e">
        <f>'инновации+добровольчество0,3664'!#REF!</f>
        <v>#REF!</v>
      </c>
      <c r="E49" s="222">
        <f>E46</f>
        <v>0.3664</v>
      </c>
      <c r="F49" s="356" t="e">
        <f>'инновации+добровольчество0,3664'!#REF!</f>
        <v>#REF!</v>
      </c>
      <c r="G49" s="81">
        <v>0</v>
      </c>
    </row>
    <row r="50" spans="1:10" ht="18.75" hidden="1" x14ac:dyDescent="0.25">
      <c r="A50" s="800" t="s">
        <v>58</v>
      </c>
      <c r="B50" s="801"/>
      <c r="C50" s="801"/>
      <c r="D50" s="801"/>
      <c r="E50" s="801"/>
      <c r="F50" s="802"/>
      <c r="G50" s="271">
        <v>0</v>
      </c>
    </row>
    <row r="51" spans="1:10" x14ac:dyDescent="0.25">
      <c r="A51" s="821" t="s">
        <v>118</v>
      </c>
      <c r="B51" s="821"/>
      <c r="C51" s="821"/>
      <c r="D51" s="821"/>
      <c r="E51" s="821"/>
      <c r="F51" s="821"/>
    </row>
    <row r="52" spans="1:10" ht="15.6" customHeight="1" x14ac:dyDescent="0.25">
      <c r="D52" s="153"/>
      <c r="F52" s="154">
        <v>1</v>
      </c>
    </row>
    <row r="53" spans="1:10" ht="12" customHeight="1" x14ac:dyDescent="0.25">
      <c r="A53" s="795" t="s">
        <v>121</v>
      </c>
      <c r="B53" s="795"/>
      <c r="C53" s="501"/>
      <c r="D53" s="795" t="s">
        <v>11</v>
      </c>
      <c r="E53" s="795" t="s">
        <v>48</v>
      </c>
      <c r="F53" s="795" t="s">
        <v>15</v>
      </c>
      <c r="G53" s="831" t="s">
        <v>6</v>
      </c>
      <c r="J53" s="179"/>
    </row>
    <row r="54" spans="1:10" ht="9" hidden="1" customHeight="1" x14ac:dyDescent="0.25">
      <c r="A54" s="795"/>
      <c r="B54" s="795"/>
      <c r="C54" s="501"/>
      <c r="D54" s="795"/>
      <c r="E54" s="795"/>
      <c r="F54" s="795"/>
      <c r="G54" s="831"/>
      <c r="J54" s="154"/>
    </row>
    <row r="55" spans="1:10" x14ac:dyDescent="0.25">
      <c r="A55" s="795">
        <v>1</v>
      </c>
      <c r="B55" s="795"/>
      <c r="C55" s="501"/>
      <c r="D55" s="501">
        <v>2</v>
      </c>
      <c r="E55" s="501">
        <v>3</v>
      </c>
      <c r="F55" s="501">
        <v>4</v>
      </c>
      <c r="G55" s="284" t="s">
        <v>68</v>
      </c>
    </row>
    <row r="56" spans="1:10" ht="56.25" x14ac:dyDescent="0.25">
      <c r="A56" s="511" t="s">
        <v>231</v>
      </c>
      <c r="B56" s="501"/>
      <c r="C56" s="501"/>
      <c r="D56" s="501"/>
      <c r="E56" s="556"/>
      <c r="F56" s="571"/>
      <c r="G56" s="284"/>
    </row>
    <row r="57" spans="1:10" ht="18.75" x14ac:dyDescent="0.25">
      <c r="A57" s="570" t="s">
        <v>228</v>
      </c>
      <c r="B57" s="501"/>
      <c r="C57" s="501"/>
      <c r="D57" s="501"/>
      <c r="E57" s="556">
        <v>2</v>
      </c>
      <c r="F57" s="571">
        <v>8200</v>
      </c>
      <c r="G57" s="284">
        <f>E57*F57</f>
        <v>16400</v>
      </c>
    </row>
    <row r="58" spans="1:10" ht="18.75" x14ac:dyDescent="0.25">
      <c r="A58" s="570" t="s">
        <v>334</v>
      </c>
      <c r="B58" s="501"/>
      <c r="C58" s="501"/>
      <c r="D58" s="501"/>
      <c r="E58" s="556">
        <v>3</v>
      </c>
      <c r="F58" s="571">
        <v>3000</v>
      </c>
      <c r="G58" s="284">
        <f t="shared" ref="G58:G117" si="1">E58*F58</f>
        <v>9000</v>
      </c>
    </row>
    <row r="59" spans="1:10" ht="18.75" x14ac:dyDescent="0.25">
      <c r="A59" s="570" t="s">
        <v>335</v>
      </c>
      <c r="B59" s="501"/>
      <c r="C59" s="501"/>
      <c r="D59" s="501"/>
      <c r="E59" s="556">
        <v>8</v>
      </c>
      <c r="F59" s="571">
        <v>450</v>
      </c>
      <c r="G59" s="284">
        <f t="shared" si="1"/>
        <v>3600</v>
      </c>
    </row>
    <row r="60" spans="1:10" ht="37.5" x14ac:dyDescent="0.25">
      <c r="A60" s="511" t="s">
        <v>457</v>
      </c>
      <c r="B60" s="501"/>
      <c r="C60" s="501"/>
      <c r="D60" s="501"/>
      <c r="E60" s="556"/>
      <c r="F60" s="571"/>
      <c r="G60" s="284">
        <f t="shared" si="1"/>
        <v>0</v>
      </c>
    </row>
    <row r="61" spans="1:10" ht="18.75" x14ac:dyDescent="0.25">
      <c r="A61" s="570" t="s">
        <v>458</v>
      </c>
      <c r="B61" s="501"/>
      <c r="C61" s="501"/>
      <c r="D61" s="501"/>
      <c r="E61" s="556">
        <v>6</v>
      </c>
      <c r="F61" s="571">
        <v>8200</v>
      </c>
      <c r="G61" s="284">
        <f t="shared" si="1"/>
        <v>49200</v>
      </c>
    </row>
    <row r="62" spans="1:10" ht="18.75" x14ac:dyDescent="0.25">
      <c r="A62" s="570" t="s">
        <v>459</v>
      </c>
      <c r="B62" s="501"/>
      <c r="C62" s="501"/>
      <c r="D62" s="501"/>
      <c r="E62" s="556">
        <v>12</v>
      </c>
      <c r="F62" s="571">
        <v>450</v>
      </c>
      <c r="G62" s="284">
        <f t="shared" si="1"/>
        <v>5400</v>
      </c>
    </row>
    <row r="63" spans="1:10" ht="18.75" x14ac:dyDescent="0.25">
      <c r="A63" s="570" t="s">
        <v>334</v>
      </c>
      <c r="B63" s="501"/>
      <c r="C63" s="501"/>
      <c r="D63" s="501"/>
      <c r="E63" s="556">
        <v>0</v>
      </c>
      <c r="F63" s="571">
        <v>3000</v>
      </c>
      <c r="G63" s="284">
        <f t="shared" si="1"/>
        <v>0</v>
      </c>
    </row>
    <row r="64" spans="1:10" ht="37.5" x14ac:dyDescent="0.25">
      <c r="A64" s="511" t="s">
        <v>460</v>
      </c>
      <c r="B64" s="501"/>
      <c r="C64" s="501"/>
      <c r="D64" s="501"/>
      <c r="E64" s="556"/>
      <c r="F64" s="571"/>
      <c r="G64" s="284">
        <f t="shared" si="1"/>
        <v>0</v>
      </c>
    </row>
    <row r="65" spans="1:7" ht="18.75" x14ac:dyDescent="0.25">
      <c r="A65" s="570" t="s">
        <v>461</v>
      </c>
      <c r="B65" s="501"/>
      <c r="C65" s="501"/>
      <c r="D65" s="501"/>
      <c r="E65" s="556">
        <v>6</v>
      </c>
      <c r="F65" s="571">
        <v>5350</v>
      </c>
      <c r="G65" s="284">
        <f t="shared" si="1"/>
        <v>32100</v>
      </c>
    </row>
    <row r="66" spans="1:7" ht="18.75" x14ac:dyDescent="0.25">
      <c r="A66" s="570" t="s">
        <v>462</v>
      </c>
      <c r="B66" s="501"/>
      <c r="C66" s="501"/>
      <c r="D66" s="501"/>
      <c r="E66" s="556">
        <v>9</v>
      </c>
      <c r="F66" s="571">
        <v>450</v>
      </c>
      <c r="G66" s="284">
        <f t="shared" si="1"/>
        <v>4050</v>
      </c>
    </row>
    <row r="67" spans="1:7" ht="18.75" x14ac:dyDescent="0.25">
      <c r="A67" s="570" t="s">
        <v>334</v>
      </c>
      <c r="B67" s="501"/>
      <c r="C67" s="501"/>
      <c r="D67" s="501"/>
      <c r="E67" s="556">
        <v>0</v>
      </c>
      <c r="F67" s="571">
        <v>3000</v>
      </c>
      <c r="G67" s="284">
        <f t="shared" si="1"/>
        <v>0</v>
      </c>
    </row>
    <row r="68" spans="1:7" ht="37.5" x14ac:dyDescent="0.25">
      <c r="A68" s="511" t="s">
        <v>463</v>
      </c>
      <c r="B68" s="501"/>
      <c r="C68" s="501"/>
      <c r="D68" s="501"/>
      <c r="E68" s="556"/>
      <c r="F68" s="571"/>
      <c r="G68" s="284">
        <f t="shared" si="1"/>
        <v>0</v>
      </c>
    </row>
    <row r="69" spans="1:7" ht="18.75" x14ac:dyDescent="0.25">
      <c r="A69" s="503" t="s">
        <v>464</v>
      </c>
      <c r="B69" s="501"/>
      <c r="C69" s="501"/>
      <c r="D69" s="501"/>
      <c r="E69" s="556">
        <v>12</v>
      </c>
      <c r="F69" s="571">
        <v>206</v>
      </c>
      <c r="G69" s="284">
        <f t="shared" si="1"/>
        <v>2472</v>
      </c>
    </row>
    <row r="70" spans="1:7" ht="18.75" x14ac:dyDescent="0.25">
      <c r="A70" s="578" t="s">
        <v>311</v>
      </c>
      <c r="B70" s="501"/>
      <c r="C70" s="501"/>
      <c r="D70" s="501"/>
      <c r="E70" s="556"/>
      <c r="F70" s="571"/>
      <c r="G70" s="284">
        <f t="shared" si="1"/>
        <v>0</v>
      </c>
    </row>
    <row r="71" spans="1:7" ht="18.75" x14ac:dyDescent="0.25">
      <c r="A71" s="570" t="s">
        <v>336</v>
      </c>
      <c r="B71" s="501"/>
      <c r="C71" s="501"/>
      <c r="D71" s="501"/>
      <c r="E71" s="556">
        <v>15</v>
      </c>
      <c r="F71" s="571">
        <v>4100</v>
      </c>
      <c r="G71" s="284">
        <f t="shared" si="1"/>
        <v>61500</v>
      </c>
    </row>
    <row r="72" spans="1:7" ht="18.75" x14ac:dyDescent="0.25">
      <c r="A72" s="570" t="s">
        <v>335</v>
      </c>
      <c r="B72" s="501"/>
      <c r="C72" s="501"/>
      <c r="D72" s="501"/>
      <c r="E72" s="556">
        <v>15</v>
      </c>
      <c r="F72" s="571">
        <v>450</v>
      </c>
      <c r="G72" s="284">
        <f t="shared" si="1"/>
        <v>6750</v>
      </c>
    </row>
    <row r="73" spans="1:7" ht="18.75" x14ac:dyDescent="0.25">
      <c r="A73" s="570" t="s">
        <v>228</v>
      </c>
      <c r="B73" s="501"/>
      <c r="C73" s="501"/>
      <c r="D73" s="501"/>
      <c r="E73" s="556">
        <v>5</v>
      </c>
      <c r="F73" s="571">
        <v>4100</v>
      </c>
      <c r="G73" s="284">
        <f t="shared" si="1"/>
        <v>20500</v>
      </c>
    </row>
    <row r="74" spans="1:7" ht="18.75" x14ac:dyDescent="0.25">
      <c r="A74" s="570" t="s">
        <v>335</v>
      </c>
      <c r="B74" s="501"/>
      <c r="C74" s="501"/>
      <c r="D74" s="501"/>
      <c r="E74" s="556">
        <v>6</v>
      </c>
      <c r="F74" s="571">
        <v>450</v>
      </c>
      <c r="G74" s="284">
        <f t="shared" si="1"/>
        <v>2700</v>
      </c>
    </row>
    <row r="75" spans="1:7" ht="37.5" x14ac:dyDescent="0.25">
      <c r="A75" s="511" t="s">
        <v>234</v>
      </c>
      <c r="B75" s="501"/>
      <c r="C75" s="501"/>
      <c r="D75" s="501"/>
      <c r="E75" s="583"/>
      <c r="F75" s="584"/>
      <c r="G75" s="284">
        <f t="shared" si="1"/>
        <v>0</v>
      </c>
    </row>
    <row r="76" spans="1:7" ht="18.75" x14ac:dyDescent="0.25">
      <c r="A76" s="570" t="s">
        <v>228</v>
      </c>
      <c r="B76" s="501"/>
      <c r="C76" s="501"/>
      <c r="D76" s="501"/>
      <c r="E76" s="556">
        <v>1</v>
      </c>
      <c r="F76" s="571">
        <v>7700</v>
      </c>
      <c r="G76" s="284">
        <f t="shared" si="1"/>
        <v>7700</v>
      </c>
    </row>
    <row r="77" spans="1:7" ht="18.75" x14ac:dyDescent="0.25">
      <c r="A77" s="570" t="s">
        <v>232</v>
      </c>
      <c r="B77" s="501"/>
      <c r="C77" s="501"/>
      <c r="D77" s="501"/>
      <c r="E77" s="556">
        <v>8</v>
      </c>
      <c r="F77" s="571">
        <v>500</v>
      </c>
      <c r="G77" s="284">
        <f t="shared" si="1"/>
        <v>4000</v>
      </c>
    </row>
    <row r="78" spans="1:7" ht="18.75" x14ac:dyDescent="0.25">
      <c r="A78" s="570" t="s">
        <v>233</v>
      </c>
      <c r="B78" s="501"/>
      <c r="C78" s="501"/>
      <c r="D78" s="501"/>
      <c r="E78" s="583">
        <v>10</v>
      </c>
      <c r="F78" s="584">
        <v>450</v>
      </c>
      <c r="G78" s="284">
        <f t="shared" si="1"/>
        <v>4500</v>
      </c>
    </row>
    <row r="79" spans="1:7" ht="37.5" x14ac:dyDescent="0.25">
      <c r="A79" s="511" t="s">
        <v>235</v>
      </c>
      <c r="B79" s="501"/>
      <c r="C79" s="501"/>
      <c r="D79" s="501"/>
      <c r="E79" s="556"/>
      <c r="F79" s="571"/>
      <c r="G79" s="284">
        <f t="shared" si="1"/>
        <v>0</v>
      </c>
    </row>
    <row r="80" spans="1:7" ht="18.75" x14ac:dyDescent="0.25">
      <c r="A80" s="570" t="s">
        <v>228</v>
      </c>
      <c r="B80" s="501"/>
      <c r="C80" s="501"/>
      <c r="D80" s="501"/>
      <c r="E80" s="583">
        <v>20</v>
      </c>
      <c r="F80" s="584">
        <v>7775.15</v>
      </c>
      <c r="G80" s="284">
        <f t="shared" si="1"/>
        <v>155503</v>
      </c>
    </row>
    <row r="81" spans="1:7" ht="18.75" x14ac:dyDescent="0.25">
      <c r="A81" s="570" t="s">
        <v>229</v>
      </c>
      <c r="B81" s="501"/>
      <c r="C81" s="501"/>
      <c r="D81" s="501"/>
      <c r="E81" s="556">
        <v>24</v>
      </c>
      <c r="F81" s="571">
        <v>500</v>
      </c>
      <c r="G81" s="284">
        <f t="shared" si="1"/>
        <v>12000</v>
      </c>
    </row>
    <row r="82" spans="1:7" ht="18.75" x14ac:dyDescent="0.25">
      <c r="A82" s="570" t="s">
        <v>230</v>
      </c>
      <c r="B82" s="501"/>
      <c r="C82" s="501"/>
      <c r="D82" s="501"/>
      <c r="E82" s="556">
        <v>24</v>
      </c>
      <c r="F82" s="571">
        <v>350</v>
      </c>
      <c r="G82" s="284">
        <f t="shared" si="1"/>
        <v>8400</v>
      </c>
    </row>
    <row r="83" spans="1:7" ht="18.75" x14ac:dyDescent="0.25">
      <c r="A83" s="586" t="s">
        <v>465</v>
      </c>
      <c r="B83" s="501"/>
      <c r="C83" s="501"/>
      <c r="D83" s="501"/>
      <c r="E83" s="556">
        <v>1</v>
      </c>
      <c r="F83" s="586">
        <v>990</v>
      </c>
      <c r="G83" s="284">
        <f t="shared" si="1"/>
        <v>990</v>
      </c>
    </row>
    <row r="84" spans="1:7" ht="18.75" x14ac:dyDescent="0.25">
      <c r="A84" s="586" t="s">
        <v>466</v>
      </c>
      <c r="B84" s="501"/>
      <c r="C84" s="501"/>
      <c r="D84" s="501"/>
      <c r="E84" s="556">
        <v>1</v>
      </c>
      <c r="F84" s="586">
        <v>1690</v>
      </c>
      <c r="G84" s="284">
        <f t="shared" si="1"/>
        <v>1690</v>
      </c>
    </row>
    <row r="85" spans="1:7" ht="18.75" x14ac:dyDescent="0.25">
      <c r="A85" s="586" t="s">
        <v>467</v>
      </c>
      <c r="B85" s="501"/>
      <c r="C85" s="501"/>
      <c r="D85" s="501"/>
      <c r="E85" s="556">
        <v>1</v>
      </c>
      <c r="F85" s="586">
        <v>1790</v>
      </c>
      <c r="G85" s="284">
        <f t="shared" si="1"/>
        <v>1790</v>
      </c>
    </row>
    <row r="86" spans="1:7" ht="18.75" x14ac:dyDescent="0.25">
      <c r="A86" s="511" t="s">
        <v>532</v>
      </c>
      <c r="B86" s="501"/>
      <c r="C86" s="501"/>
      <c r="D86" s="501"/>
      <c r="E86" s="556"/>
      <c r="F86" s="571"/>
      <c r="G86" s="284">
        <f t="shared" si="1"/>
        <v>0</v>
      </c>
    </row>
    <row r="87" spans="1:7" ht="18.75" x14ac:dyDescent="0.25">
      <c r="A87" s="587" t="s">
        <v>468</v>
      </c>
      <c r="B87" s="501"/>
      <c r="C87" s="501"/>
      <c r="D87" s="501"/>
      <c r="E87" s="588">
        <v>18</v>
      </c>
      <c r="F87" s="588">
        <v>350</v>
      </c>
      <c r="G87" s="284">
        <f t="shared" si="1"/>
        <v>6300</v>
      </c>
    </row>
    <row r="88" spans="1:7" ht="18.75" x14ac:dyDescent="0.25">
      <c r="A88" s="587" t="s">
        <v>469</v>
      </c>
      <c r="B88" s="501"/>
      <c r="C88" s="501"/>
      <c r="D88" s="501"/>
      <c r="E88" s="588">
        <v>20</v>
      </c>
      <c r="F88" s="588">
        <v>400</v>
      </c>
      <c r="G88" s="284">
        <f t="shared" si="1"/>
        <v>8000</v>
      </c>
    </row>
    <row r="89" spans="1:7" ht="18.75" x14ac:dyDescent="0.25">
      <c r="A89" s="587" t="s">
        <v>470</v>
      </c>
      <c r="B89" s="501"/>
      <c r="C89" s="501"/>
      <c r="D89" s="501"/>
      <c r="E89" s="588">
        <v>20</v>
      </c>
      <c r="F89" s="588">
        <v>165</v>
      </c>
      <c r="G89" s="284">
        <f t="shared" si="1"/>
        <v>3300</v>
      </c>
    </row>
    <row r="90" spans="1:7" ht="18.75" x14ac:dyDescent="0.25">
      <c r="A90" s="587" t="s">
        <v>471</v>
      </c>
      <c r="B90" s="501"/>
      <c r="C90" s="501"/>
      <c r="D90" s="501"/>
      <c r="E90" s="588">
        <v>20</v>
      </c>
      <c r="F90" s="588">
        <v>99</v>
      </c>
      <c r="G90" s="284">
        <f t="shared" si="1"/>
        <v>1980</v>
      </c>
    </row>
    <row r="91" spans="1:7" ht="18.75" x14ac:dyDescent="0.25">
      <c r="A91" s="587" t="s">
        <v>472</v>
      </c>
      <c r="B91" s="501"/>
      <c r="C91" s="501"/>
      <c r="D91" s="501"/>
      <c r="E91" s="588">
        <v>20</v>
      </c>
      <c r="F91" s="588">
        <v>190</v>
      </c>
      <c r="G91" s="284">
        <f t="shared" si="1"/>
        <v>3800</v>
      </c>
    </row>
    <row r="92" spans="1:7" ht="18.75" x14ac:dyDescent="0.25">
      <c r="A92" s="587" t="s">
        <v>473</v>
      </c>
      <c r="B92" s="501"/>
      <c r="C92" s="501"/>
      <c r="D92" s="501"/>
      <c r="E92" s="588">
        <v>4</v>
      </c>
      <c r="F92" s="588">
        <v>190</v>
      </c>
      <c r="G92" s="284">
        <f t="shared" si="1"/>
        <v>760</v>
      </c>
    </row>
    <row r="93" spans="1:7" ht="18.75" x14ac:dyDescent="0.25">
      <c r="A93" s="587" t="s">
        <v>474</v>
      </c>
      <c r="B93" s="501"/>
      <c r="C93" s="501"/>
      <c r="D93" s="501"/>
      <c r="E93" s="588">
        <v>20</v>
      </c>
      <c r="F93" s="588">
        <v>220</v>
      </c>
      <c r="G93" s="284">
        <f t="shared" si="1"/>
        <v>4400</v>
      </c>
    </row>
    <row r="94" spans="1:7" ht="18.75" x14ac:dyDescent="0.25">
      <c r="A94" s="587" t="s">
        <v>475</v>
      </c>
      <c r="B94" s="501"/>
      <c r="C94" s="501"/>
      <c r="D94" s="501"/>
      <c r="E94" s="588">
        <v>50</v>
      </c>
      <c r="F94" s="588">
        <v>170</v>
      </c>
      <c r="G94" s="284">
        <f t="shared" si="1"/>
        <v>8500</v>
      </c>
    </row>
    <row r="95" spans="1:7" ht="18.75" x14ac:dyDescent="0.25">
      <c r="A95" s="587" t="s">
        <v>476</v>
      </c>
      <c r="B95" s="501"/>
      <c r="C95" s="501"/>
      <c r="D95" s="501"/>
      <c r="E95" s="588">
        <v>1</v>
      </c>
      <c r="F95" s="588">
        <v>1200</v>
      </c>
      <c r="G95" s="284">
        <f t="shared" si="1"/>
        <v>1200</v>
      </c>
    </row>
    <row r="96" spans="1:7" ht="18.75" x14ac:dyDescent="0.25">
      <c r="A96" s="587" t="s">
        <v>477</v>
      </c>
      <c r="B96" s="501"/>
      <c r="C96" s="501"/>
      <c r="D96" s="501"/>
      <c r="E96" s="588">
        <v>20</v>
      </c>
      <c r="F96" s="588">
        <v>220</v>
      </c>
      <c r="G96" s="284">
        <f t="shared" si="1"/>
        <v>4400</v>
      </c>
    </row>
    <row r="97" spans="1:7" ht="18.75" x14ac:dyDescent="0.25">
      <c r="A97" s="587" t="s">
        <v>478</v>
      </c>
      <c r="B97" s="501"/>
      <c r="C97" s="501"/>
      <c r="D97" s="501"/>
      <c r="E97" s="588">
        <v>8</v>
      </c>
      <c r="F97" s="588">
        <v>2500</v>
      </c>
      <c r="G97" s="284">
        <f t="shared" si="1"/>
        <v>20000</v>
      </c>
    </row>
    <row r="98" spans="1:7" ht="18.75" x14ac:dyDescent="0.25">
      <c r="A98" s="587" t="s">
        <v>479</v>
      </c>
      <c r="B98" s="501"/>
      <c r="C98" s="501"/>
      <c r="D98" s="501"/>
      <c r="E98" s="588">
        <v>6</v>
      </c>
      <c r="F98" s="588">
        <v>2500</v>
      </c>
      <c r="G98" s="284">
        <f t="shared" si="1"/>
        <v>15000</v>
      </c>
    </row>
    <row r="99" spans="1:7" ht="18.75" x14ac:dyDescent="0.25">
      <c r="A99" s="587" t="s">
        <v>480</v>
      </c>
      <c r="B99" s="501"/>
      <c r="C99" s="501"/>
      <c r="D99" s="501"/>
      <c r="E99" s="588">
        <v>2</v>
      </c>
      <c r="F99" s="588">
        <v>2500</v>
      </c>
      <c r="G99" s="284">
        <f t="shared" si="1"/>
        <v>5000</v>
      </c>
    </row>
    <row r="100" spans="1:7" ht="18.75" x14ac:dyDescent="0.25">
      <c r="A100" s="587" t="s">
        <v>481</v>
      </c>
      <c r="B100" s="501"/>
      <c r="C100" s="501"/>
      <c r="D100" s="501"/>
      <c r="E100" s="588">
        <v>8</v>
      </c>
      <c r="F100" s="588">
        <v>1950</v>
      </c>
      <c r="G100" s="284">
        <f t="shared" si="1"/>
        <v>15600</v>
      </c>
    </row>
    <row r="101" spans="1:7" ht="18.75" x14ac:dyDescent="0.25">
      <c r="A101" s="587" t="s">
        <v>482</v>
      </c>
      <c r="B101" s="501"/>
      <c r="C101" s="501"/>
      <c r="D101" s="501"/>
      <c r="E101" s="588">
        <v>6</v>
      </c>
      <c r="F101" s="588">
        <v>1950</v>
      </c>
      <c r="G101" s="284">
        <f t="shared" si="1"/>
        <v>11700</v>
      </c>
    </row>
    <row r="102" spans="1:7" ht="18.75" x14ac:dyDescent="0.25">
      <c r="A102" s="587" t="s">
        <v>483</v>
      </c>
      <c r="B102" s="501"/>
      <c r="C102" s="501"/>
      <c r="D102" s="501"/>
      <c r="E102" s="588">
        <v>2</v>
      </c>
      <c r="F102" s="588">
        <v>1950</v>
      </c>
      <c r="G102" s="284">
        <f t="shared" si="1"/>
        <v>3900</v>
      </c>
    </row>
    <row r="103" spans="1:7" ht="18.75" x14ac:dyDescent="0.25">
      <c r="A103" s="587" t="s">
        <v>484</v>
      </c>
      <c r="B103" s="501"/>
      <c r="C103" s="501"/>
      <c r="D103" s="501"/>
      <c r="E103" s="588">
        <v>1</v>
      </c>
      <c r="F103" s="588">
        <v>2950</v>
      </c>
      <c r="G103" s="284">
        <f t="shared" si="1"/>
        <v>2950</v>
      </c>
    </row>
    <row r="104" spans="1:7" ht="37.5" x14ac:dyDescent="0.25">
      <c r="A104" s="587" t="s">
        <v>485</v>
      </c>
      <c r="B104" s="501"/>
      <c r="C104" s="501"/>
      <c r="D104" s="501"/>
      <c r="E104" s="588">
        <v>4</v>
      </c>
      <c r="F104" s="588">
        <v>5100</v>
      </c>
      <c r="G104" s="284">
        <f t="shared" si="1"/>
        <v>20400</v>
      </c>
    </row>
    <row r="105" spans="1:7" ht="37.5" x14ac:dyDescent="0.25">
      <c r="A105" s="587" t="s">
        <v>486</v>
      </c>
      <c r="B105" s="501"/>
      <c r="C105" s="501"/>
      <c r="D105" s="501"/>
      <c r="E105" s="588">
        <v>6</v>
      </c>
      <c r="F105" s="588">
        <v>5100</v>
      </c>
      <c r="G105" s="284">
        <f t="shared" si="1"/>
        <v>30600</v>
      </c>
    </row>
    <row r="106" spans="1:7" ht="37.5" x14ac:dyDescent="0.25">
      <c r="A106" s="587" t="s">
        <v>487</v>
      </c>
      <c r="B106" s="501"/>
      <c r="C106" s="501"/>
      <c r="D106" s="501"/>
      <c r="E106" s="588">
        <v>2</v>
      </c>
      <c r="F106" s="588">
        <v>5100</v>
      </c>
      <c r="G106" s="284">
        <f t="shared" si="1"/>
        <v>10200</v>
      </c>
    </row>
    <row r="107" spans="1:7" ht="18.75" x14ac:dyDescent="0.25">
      <c r="A107" s="587" t="s">
        <v>488</v>
      </c>
      <c r="B107" s="501"/>
      <c r="C107" s="501"/>
      <c r="D107" s="501"/>
      <c r="E107" s="588">
        <v>2</v>
      </c>
      <c r="F107" s="588">
        <v>4500</v>
      </c>
      <c r="G107" s="284">
        <f t="shared" si="1"/>
        <v>9000</v>
      </c>
    </row>
    <row r="108" spans="1:7" ht="18.75" x14ac:dyDescent="0.25">
      <c r="A108" s="587" t="s">
        <v>489</v>
      </c>
      <c r="B108" s="501"/>
      <c r="C108" s="501"/>
      <c r="D108" s="501"/>
      <c r="E108" s="588">
        <v>6</v>
      </c>
      <c r="F108" s="588">
        <v>4500</v>
      </c>
      <c r="G108" s="284">
        <f t="shared" si="1"/>
        <v>27000</v>
      </c>
    </row>
    <row r="109" spans="1:7" ht="18.75" x14ac:dyDescent="0.25">
      <c r="A109" s="587" t="s">
        <v>490</v>
      </c>
      <c r="B109" s="501"/>
      <c r="C109" s="501"/>
      <c r="D109" s="501"/>
      <c r="E109" s="588">
        <v>3</v>
      </c>
      <c r="F109" s="588">
        <v>4500</v>
      </c>
      <c r="G109" s="284">
        <f t="shared" si="1"/>
        <v>13500</v>
      </c>
    </row>
    <row r="110" spans="1:7" ht="18.75" x14ac:dyDescent="0.25">
      <c r="A110" s="587" t="s">
        <v>491</v>
      </c>
      <c r="B110" s="501"/>
      <c r="C110" s="501"/>
      <c r="D110" s="501"/>
      <c r="E110" s="588">
        <v>4</v>
      </c>
      <c r="F110" s="588">
        <v>4500</v>
      </c>
      <c r="G110" s="284">
        <f t="shared" si="1"/>
        <v>18000</v>
      </c>
    </row>
    <row r="111" spans="1:7" ht="18.75" x14ac:dyDescent="0.25">
      <c r="A111" s="587" t="s">
        <v>492</v>
      </c>
      <c r="B111" s="501"/>
      <c r="C111" s="501"/>
      <c r="D111" s="501"/>
      <c r="E111" s="588">
        <v>2</v>
      </c>
      <c r="F111" s="588">
        <v>4500</v>
      </c>
      <c r="G111" s="284">
        <f t="shared" si="1"/>
        <v>9000</v>
      </c>
    </row>
    <row r="112" spans="1:7" ht="18.75" x14ac:dyDescent="0.25">
      <c r="A112" s="587" t="s">
        <v>493</v>
      </c>
      <c r="B112" s="501"/>
      <c r="C112" s="501"/>
      <c r="D112" s="501"/>
      <c r="E112" s="570">
        <v>10</v>
      </c>
      <c r="F112" s="588">
        <v>950</v>
      </c>
      <c r="G112" s="284">
        <f t="shared" si="1"/>
        <v>9500</v>
      </c>
    </row>
    <row r="113" spans="1:7" ht="18.75" x14ac:dyDescent="0.25">
      <c r="A113" s="587" t="s">
        <v>494</v>
      </c>
      <c r="B113" s="501"/>
      <c r="C113" s="501"/>
      <c r="D113" s="501"/>
      <c r="E113" s="570">
        <v>2</v>
      </c>
      <c r="F113" s="588">
        <v>880</v>
      </c>
      <c r="G113" s="284">
        <f t="shared" si="1"/>
        <v>1760</v>
      </c>
    </row>
    <row r="114" spans="1:7" ht="18.75" x14ac:dyDescent="0.25">
      <c r="A114" s="587" t="s">
        <v>495</v>
      </c>
      <c r="B114" s="501"/>
      <c r="C114" s="501"/>
      <c r="D114" s="501"/>
      <c r="E114" s="570">
        <v>1</v>
      </c>
      <c r="F114" s="588">
        <v>850</v>
      </c>
      <c r="G114" s="284">
        <f t="shared" si="1"/>
        <v>850</v>
      </c>
    </row>
    <row r="115" spans="1:7" ht="18.75" x14ac:dyDescent="0.25">
      <c r="A115" s="587" t="s">
        <v>496</v>
      </c>
      <c r="B115" s="501"/>
      <c r="C115" s="501"/>
      <c r="D115" s="501"/>
      <c r="E115" s="570">
        <v>1</v>
      </c>
      <c r="F115" s="588">
        <v>900</v>
      </c>
      <c r="G115" s="284">
        <f t="shared" si="1"/>
        <v>900</v>
      </c>
    </row>
    <row r="116" spans="1:7" ht="18.75" x14ac:dyDescent="0.3">
      <c r="A116" s="579" t="s">
        <v>497</v>
      </c>
      <c r="B116" s="501"/>
      <c r="C116" s="501"/>
      <c r="D116" s="501"/>
      <c r="E116" s="570">
        <v>10</v>
      </c>
      <c r="F116" s="588">
        <v>380</v>
      </c>
      <c r="G116" s="284">
        <f t="shared" si="1"/>
        <v>3800</v>
      </c>
    </row>
    <row r="117" spans="1:7" ht="18.75" x14ac:dyDescent="0.3">
      <c r="A117" s="579" t="s">
        <v>498</v>
      </c>
      <c r="B117" s="501"/>
      <c r="C117" s="501"/>
      <c r="D117" s="501"/>
      <c r="E117" s="570">
        <v>2</v>
      </c>
      <c r="F117" s="588">
        <v>750</v>
      </c>
      <c r="G117" s="284">
        <f t="shared" si="1"/>
        <v>1500</v>
      </c>
    </row>
    <row r="118" spans="1:7" ht="18.75" x14ac:dyDescent="0.25">
      <c r="A118" s="587" t="s">
        <v>499</v>
      </c>
      <c r="B118" s="501"/>
      <c r="C118" s="501"/>
      <c r="D118" s="501"/>
      <c r="E118" s="570">
        <v>3</v>
      </c>
      <c r="F118" s="588">
        <v>280</v>
      </c>
      <c r="G118" s="284">
        <f t="shared" ref="G118:G150" si="2">E118*F118</f>
        <v>840</v>
      </c>
    </row>
    <row r="119" spans="1:7" ht="18.75" x14ac:dyDescent="0.25">
      <c r="A119" s="587" t="s">
        <v>500</v>
      </c>
      <c r="B119" s="501"/>
      <c r="C119" s="501"/>
      <c r="D119" s="501"/>
      <c r="E119" s="570">
        <v>3</v>
      </c>
      <c r="F119" s="588">
        <v>280</v>
      </c>
      <c r="G119" s="284">
        <f t="shared" si="2"/>
        <v>840</v>
      </c>
    </row>
    <row r="120" spans="1:7" ht="18.75" x14ac:dyDescent="0.25">
      <c r="A120" s="587" t="s">
        <v>501</v>
      </c>
      <c r="B120" s="501"/>
      <c r="C120" s="501"/>
      <c r="D120" s="501"/>
      <c r="E120" s="570">
        <v>2</v>
      </c>
      <c r="F120" s="588">
        <v>1100</v>
      </c>
      <c r="G120" s="284">
        <f t="shared" si="2"/>
        <v>2200</v>
      </c>
    </row>
    <row r="121" spans="1:7" ht="18.75" x14ac:dyDescent="0.25">
      <c r="A121" s="587" t="s">
        <v>502</v>
      </c>
      <c r="B121" s="501"/>
      <c r="C121" s="501"/>
      <c r="D121" s="501"/>
      <c r="E121" s="570">
        <v>1</v>
      </c>
      <c r="F121" s="588">
        <v>1800</v>
      </c>
      <c r="G121" s="284">
        <f t="shared" si="2"/>
        <v>1800</v>
      </c>
    </row>
    <row r="122" spans="1:7" ht="18.75" x14ac:dyDescent="0.25">
      <c r="A122" s="587" t="s">
        <v>503</v>
      </c>
      <c r="B122" s="501"/>
      <c r="C122" s="501"/>
      <c r="D122" s="501"/>
      <c r="E122" s="570">
        <v>1</v>
      </c>
      <c r="F122" s="588">
        <v>1100</v>
      </c>
      <c r="G122" s="284">
        <f t="shared" si="2"/>
        <v>1100</v>
      </c>
    </row>
    <row r="123" spans="1:7" ht="18.75" x14ac:dyDescent="0.25">
      <c r="A123" s="503" t="s">
        <v>504</v>
      </c>
      <c r="B123" s="501"/>
      <c r="C123" s="501"/>
      <c r="D123" s="501"/>
      <c r="E123" s="556">
        <v>100</v>
      </c>
      <c r="F123" s="564">
        <v>50</v>
      </c>
      <c r="G123" s="284">
        <f t="shared" si="2"/>
        <v>5000</v>
      </c>
    </row>
    <row r="124" spans="1:7" ht="18.75" x14ac:dyDescent="0.25">
      <c r="A124" s="503" t="s">
        <v>505</v>
      </c>
      <c r="B124" s="501"/>
      <c r="C124" s="501"/>
      <c r="D124" s="501"/>
      <c r="E124" s="556">
        <v>1</v>
      </c>
      <c r="F124" s="564">
        <v>11200</v>
      </c>
      <c r="G124" s="284">
        <f t="shared" si="2"/>
        <v>11200</v>
      </c>
    </row>
    <row r="125" spans="1:7" x14ac:dyDescent="0.25">
      <c r="A125" s="586" t="s">
        <v>506</v>
      </c>
      <c r="B125" s="501"/>
      <c r="C125" s="501"/>
      <c r="D125" s="501"/>
      <c r="E125" s="586">
        <v>20</v>
      </c>
      <c r="F125" s="589">
        <v>2300</v>
      </c>
      <c r="G125" s="284">
        <f t="shared" si="2"/>
        <v>46000</v>
      </c>
    </row>
    <row r="126" spans="1:7" x14ac:dyDescent="0.25">
      <c r="A126" s="586" t="s">
        <v>507</v>
      </c>
      <c r="B126" s="501"/>
      <c r="C126" s="501"/>
      <c r="D126" s="501"/>
      <c r="E126" s="586">
        <v>20</v>
      </c>
      <c r="F126" s="589">
        <v>1200</v>
      </c>
      <c r="G126" s="284">
        <f t="shared" si="2"/>
        <v>24000</v>
      </c>
    </row>
    <row r="127" spans="1:7" x14ac:dyDescent="0.25">
      <c r="A127" s="586" t="s">
        <v>508</v>
      </c>
      <c r="B127" s="501"/>
      <c r="C127" s="501"/>
      <c r="D127" s="501"/>
      <c r="E127" s="586">
        <v>10</v>
      </c>
      <c r="F127" s="589">
        <v>900</v>
      </c>
      <c r="G127" s="284">
        <f t="shared" si="2"/>
        <v>9000</v>
      </c>
    </row>
    <row r="128" spans="1:7" x14ac:dyDescent="0.25">
      <c r="A128" s="586" t="s">
        <v>509</v>
      </c>
      <c r="B128" s="501"/>
      <c r="C128" s="501"/>
      <c r="D128" s="501"/>
      <c r="E128" s="586">
        <v>30</v>
      </c>
      <c r="F128" s="589">
        <v>400</v>
      </c>
      <c r="G128" s="284">
        <f t="shared" si="2"/>
        <v>12000</v>
      </c>
    </row>
    <row r="129" spans="1:7" x14ac:dyDescent="0.25">
      <c r="A129" s="586" t="s">
        <v>510</v>
      </c>
      <c r="B129" s="501"/>
      <c r="C129" s="501"/>
      <c r="D129" s="501"/>
      <c r="E129" s="586">
        <v>30</v>
      </c>
      <c r="F129" s="589">
        <v>250</v>
      </c>
      <c r="G129" s="284">
        <f t="shared" si="2"/>
        <v>7500</v>
      </c>
    </row>
    <row r="130" spans="1:7" x14ac:dyDescent="0.25">
      <c r="A130" s="586" t="s">
        <v>511</v>
      </c>
      <c r="B130" s="501"/>
      <c r="C130" s="501"/>
      <c r="D130" s="501"/>
      <c r="E130" s="586">
        <v>200</v>
      </c>
      <c r="F130" s="589">
        <v>50</v>
      </c>
      <c r="G130" s="284">
        <f t="shared" si="2"/>
        <v>10000</v>
      </c>
    </row>
    <row r="131" spans="1:7" x14ac:dyDescent="0.25">
      <c r="A131" s="586" t="s">
        <v>512</v>
      </c>
      <c r="B131" s="501"/>
      <c r="C131" s="501"/>
      <c r="D131" s="501"/>
      <c r="E131" s="586">
        <v>2000</v>
      </c>
      <c r="F131" s="589">
        <v>1.35</v>
      </c>
      <c r="G131" s="284">
        <f t="shared" si="2"/>
        <v>2700</v>
      </c>
    </row>
    <row r="132" spans="1:7" x14ac:dyDescent="0.25">
      <c r="A132" s="586" t="s">
        <v>513</v>
      </c>
      <c r="B132" s="501"/>
      <c r="C132" s="501"/>
      <c r="D132" s="501"/>
      <c r="E132" s="586">
        <v>1800</v>
      </c>
      <c r="F132" s="589">
        <v>3.15</v>
      </c>
      <c r="G132" s="284">
        <f t="shared" si="2"/>
        <v>5670</v>
      </c>
    </row>
    <row r="133" spans="1:7" x14ac:dyDescent="0.25">
      <c r="A133" s="586" t="s">
        <v>514</v>
      </c>
      <c r="B133" s="501"/>
      <c r="C133" s="501"/>
      <c r="D133" s="501"/>
      <c r="E133" s="586">
        <v>3000</v>
      </c>
      <c r="F133" s="589">
        <v>0.93</v>
      </c>
      <c r="G133" s="284">
        <f t="shared" si="2"/>
        <v>2790</v>
      </c>
    </row>
    <row r="134" spans="1:7" ht="18.75" x14ac:dyDescent="0.25">
      <c r="A134" s="580" t="s">
        <v>515</v>
      </c>
      <c r="B134" s="501"/>
      <c r="C134" s="501"/>
      <c r="D134" s="501"/>
      <c r="E134" s="512">
        <v>1</v>
      </c>
      <c r="F134" s="564">
        <v>2100</v>
      </c>
      <c r="G134" s="284">
        <f t="shared" si="2"/>
        <v>2100</v>
      </c>
    </row>
    <row r="135" spans="1:7" ht="18.75" x14ac:dyDescent="0.25">
      <c r="A135" s="580" t="s">
        <v>516</v>
      </c>
      <c r="B135" s="501"/>
      <c r="C135" s="501"/>
      <c r="D135" s="501"/>
      <c r="E135" s="512">
        <v>4</v>
      </c>
      <c r="F135" s="564">
        <v>2100</v>
      </c>
      <c r="G135" s="284">
        <f t="shared" si="2"/>
        <v>8400</v>
      </c>
    </row>
    <row r="136" spans="1:7" ht="18.75" x14ac:dyDescent="0.25">
      <c r="A136" s="580" t="s">
        <v>517</v>
      </c>
      <c r="B136" s="501"/>
      <c r="C136" s="501"/>
      <c r="D136" s="501"/>
      <c r="E136" s="512">
        <v>3</v>
      </c>
      <c r="F136" s="564">
        <v>2100</v>
      </c>
      <c r="G136" s="284">
        <f t="shared" si="2"/>
        <v>6300</v>
      </c>
    </row>
    <row r="137" spans="1:7" ht="18.75" x14ac:dyDescent="0.25">
      <c r="A137" s="580" t="s">
        <v>518</v>
      </c>
      <c r="B137" s="501"/>
      <c r="C137" s="501"/>
      <c r="D137" s="501"/>
      <c r="E137" s="512">
        <v>3</v>
      </c>
      <c r="F137" s="564">
        <v>2100</v>
      </c>
      <c r="G137" s="284">
        <f t="shared" si="2"/>
        <v>6300</v>
      </c>
    </row>
    <row r="138" spans="1:7" ht="18.75" x14ac:dyDescent="0.25">
      <c r="A138" s="580" t="s">
        <v>519</v>
      </c>
      <c r="B138" s="501"/>
      <c r="C138" s="501"/>
      <c r="D138" s="501"/>
      <c r="E138" s="512">
        <v>2</v>
      </c>
      <c r="F138" s="564">
        <v>2100</v>
      </c>
      <c r="G138" s="284">
        <f t="shared" si="2"/>
        <v>4200</v>
      </c>
    </row>
    <row r="139" spans="1:7" ht="18.75" x14ac:dyDescent="0.25">
      <c r="A139" s="580" t="s">
        <v>520</v>
      </c>
      <c r="B139" s="501"/>
      <c r="C139" s="501"/>
      <c r="D139" s="501"/>
      <c r="E139" s="512">
        <v>2</v>
      </c>
      <c r="F139" s="564">
        <v>5800</v>
      </c>
      <c r="G139" s="284">
        <f t="shared" si="2"/>
        <v>11600</v>
      </c>
    </row>
    <row r="140" spans="1:7" ht="18.75" x14ac:dyDescent="0.25">
      <c r="A140" s="580" t="s">
        <v>521</v>
      </c>
      <c r="B140" s="501"/>
      <c r="C140" s="501"/>
      <c r="D140" s="501"/>
      <c r="E140" s="512">
        <v>2</v>
      </c>
      <c r="F140" s="564">
        <v>5800</v>
      </c>
      <c r="G140" s="284">
        <f t="shared" si="2"/>
        <v>11600</v>
      </c>
    </row>
    <row r="141" spans="1:7" ht="18.75" x14ac:dyDescent="0.25">
      <c r="A141" s="580" t="s">
        <v>522</v>
      </c>
      <c r="B141" s="501"/>
      <c r="C141" s="501"/>
      <c r="D141" s="501"/>
      <c r="E141" s="512">
        <v>2</v>
      </c>
      <c r="F141" s="564">
        <v>5800</v>
      </c>
      <c r="G141" s="284">
        <f t="shared" si="2"/>
        <v>11600</v>
      </c>
    </row>
    <row r="142" spans="1:7" ht="18.75" x14ac:dyDescent="0.25">
      <c r="A142" s="580" t="s">
        <v>523</v>
      </c>
      <c r="B142" s="501"/>
      <c r="C142" s="501"/>
      <c r="D142" s="501"/>
      <c r="E142" s="512">
        <v>3</v>
      </c>
      <c r="F142" s="564">
        <v>5800</v>
      </c>
      <c r="G142" s="284">
        <f t="shared" si="2"/>
        <v>17400</v>
      </c>
    </row>
    <row r="143" spans="1:7" ht="18.75" x14ac:dyDescent="0.25">
      <c r="A143" s="580" t="s">
        <v>524</v>
      </c>
      <c r="B143" s="501"/>
      <c r="C143" s="501"/>
      <c r="D143" s="501"/>
      <c r="E143" s="512">
        <v>4</v>
      </c>
      <c r="F143" s="564">
        <v>5800</v>
      </c>
      <c r="G143" s="284">
        <f t="shared" si="2"/>
        <v>23200</v>
      </c>
    </row>
    <row r="144" spans="1:7" ht="18.75" x14ac:dyDescent="0.25">
      <c r="A144" s="580" t="s">
        <v>525</v>
      </c>
      <c r="B144" s="501"/>
      <c r="C144" s="501"/>
      <c r="D144" s="501"/>
      <c r="E144" s="512">
        <v>1</v>
      </c>
      <c r="F144" s="564">
        <v>5800</v>
      </c>
      <c r="G144" s="284">
        <f t="shared" si="2"/>
        <v>5800</v>
      </c>
    </row>
    <row r="145" spans="1:7" ht="18.75" x14ac:dyDescent="0.25">
      <c r="A145" s="580" t="s">
        <v>526</v>
      </c>
      <c r="B145" s="501"/>
      <c r="C145" s="501"/>
      <c r="D145" s="501"/>
      <c r="E145" s="512">
        <v>1</v>
      </c>
      <c r="F145" s="564">
        <v>5800</v>
      </c>
      <c r="G145" s="284">
        <f t="shared" si="2"/>
        <v>5800</v>
      </c>
    </row>
    <row r="146" spans="1:7" ht="18.75" x14ac:dyDescent="0.25">
      <c r="A146" s="503" t="s">
        <v>527</v>
      </c>
      <c r="B146" s="501"/>
      <c r="C146" s="501"/>
      <c r="D146" s="501"/>
      <c r="E146" s="556">
        <v>1</v>
      </c>
      <c r="F146" s="564">
        <v>2290</v>
      </c>
      <c r="G146" s="284">
        <f t="shared" si="2"/>
        <v>2290</v>
      </c>
    </row>
    <row r="147" spans="1:7" ht="18.75" x14ac:dyDescent="0.25">
      <c r="A147" s="590" t="s">
        <v>528</v>
      </c>
      <c r="B147" s="581"/>
      <c r="C147" s="585"/>
      <c r="D147" s="90"/>
      <c r="E147" s="556">
        <v>6</v>
      </c>
      <c r="F147" s="564">
        <v>4800</v>
      </c>
      <c r="G147" s="284">
        <f t="shared" si="2"/>
        <v>28800</v>
      </c>
    </row>
    <row r="148" spans="1:7" ht="18.75" x14ac:dyDescent="0.25">
      <c r="A148" s="511" t="s">
        <v>529</v>
      </c>
      <c r="B148" s="582"/>
      <c r="C148" s="582"/>
      <c r="D148" s="90" t="s">
        <v>122</v>
      </c>
      <c r="E148" s="556"/>
      <c r="F148" s="564"/>
      <c r="G148" s="284">
        <f t="shared" si="2"/>
        <v>0</v>
      </c>
    </row>
    <row r="149" spans="1:7" ht="18.75" x14ac:dyDescent="0.25">
      <c r="A149" s="503" t="s">
        <v>530</v>
      </c>
      <c r="B149" s="582"/>
      <c r="C149" s="582"/>
      <c r="D149" s="90" t="s">
        <v>123</v>
      </c>
      <c r="E149" s="556">
        <v>40</v>
      </c>
      <c r="F149" s="564">
        <v>700</v>
      </c>
      <c r="G149" s="284">
        <f t="shared" si="2"/>
        <v>28000</v>
      </c>
    </row>
    <row r="150" spans="1:7" ht="18.75" x14ac:dyDescent="0.25">
      <c r="A150" s="503" t="s">
        <v>531</v>
      </c>
      <c r="B150" s="582"/>
      <c r="C150" s="585"/>
      <c r="D150" s="90" t="s">
        <v>123</v>
      </c>
      <c r="E150" s="556">
        <v>2</v>
      </c>
      <c r="F150" s="564">
        <v>412.5</v>
      </c>
      <c r="G150" s="284">
        <f t="shared" si="2"/>
        <v>825</v>
      </c>
    </row>
    <row r="151" spans="1:7" hidden="1" x14ac:dyDescent="0.25">
      <c r="A151" s="420" t="s">
        <v>312</v>
      </c>
      <c r="B151" s="371"/>
      <c r="C151" s="92"/>
      <c r="D151" s="90" t="s">
        <v>123</v>
      </c>
      <c r="E151" s="152">
        <v>0</v>
      </c>
      <c r="F151" s="152">
        <v>0</v>
      </c>
      <c r="G151" s="284">
        <v>0</v>
      </c>
    </row>
    <row r="152" spans="1:7" ht="19.5" hidden="1" customHeight="1" x14ac:dyDescent="0.25">
      <c r="A152" s="420" t="s">
        <v>313</v>
      </c>
      <c r="B152" s="372"/>
      <c r="C152" s="92"/>
      <c r="D152" s="90" t="s">
        <v>84</v>
      </c>
      <c r="E152" s="152">
        <v>0</v>
      </c>
      <c r="F152" s="152">
        <v>45</v>
      </c>
      <c r="G152" s="284">
        <f t="shared" ref="G152:G153" si="3">E152*F152</f>
        <v>0</v>
      </c>
    </row>
    <row r="153" spans="1:7" ht="15.75" hidden="1" customHeight="1" x14ac:dyDescent="0.25">
      <c r="A153" s="100" t="s">
        <v>314</v>
      </c>
      <c r="B153" s="372"/>
      <c r="C153" s="285"/>
      <c r="D153" s="375" t="s">
        <v>84</v>
      </c>
      <c r="E153" s="70">
        <v>0</v>
      </c>
      <c r="F153" s="405">
        <v>30</v>
      </c>
      <c r="G153" s="284">
        <f t="shared" si="3"/>
        <v>0</v>
      </c>
    </row>
    <row r="154" spans="1:7" hidden="1" x14ac:dyDescent="0.25">
      <c r="A154" s="373" t="s">
        <v>227</v>
      </c>
      <c r="B154" s="374"/>
      <c r="C154" s="92"/>
      <c r="D154" s="90" t="s">
        <v>84</v>
      </c>
      <c r="E154" s="90"/>
      <c r="F154" s="91"/>
      <c r="G154" s="284"/>
    </row>
    <row r="155" spans="1:7" ht="18.75" x14ac:dyDescent="0.25">
      <c r="G155" s="591">
        <f>SUM(G56:G154)</f>
        <v>999900</v>
      </c>
    </row>
    <row r="156" spans="1:7" s="287" customFormat="1" ht="18.75" x14ac:dyDescent="0.25">
      <c r="A156" s="286"/>
      <c r="B156" s="286"/>
      <c r="C156" s="286"/>
      <c r="D156" s="286"/>
      <c r="E156" s="286"/>
      <c r="F156" s="286"/>
      <c r="G156" s="253"/>
    </row>
    <row r="157" spans="1:7" s="287" customFormat="1" ht="18.75" x14ac:dyDescent="0.25">
      <c r="A157" s="286"/>
      <c r="B157" s="286"/>
      <c r="C157" s="286"/>
      <c r="D157" s="286"/>
      <c r="E157" s="286"/>
      <c r="F157" s="286"/>
      <c r="G157" s="253"/>
    </row>
    <row r="158" spans="1:7" ht="18.75" x14ac:dyDescent="0.25">
      <c r="A158" s="286"/>
      <c r="B158" s="286"/>
      <c r="C158" s="286"/>
      <c r="D158" s="286"/>
      <c r="E158" s="286"/>
      <c r="F158" s="286"/>
      <c r="G158" s="253"/>
    </row>
    <row r="159" spans="1:7" ht="32.25" customHeight="1" x14ac:dyDescent="0.25">
      <c r="A159" s="803" t="str">
        <f>'таланты+инициативы0,2672'!A106:F106</f>
        <v xml:space="preserve">Затраты на оплату труда работников, непосредственно НЕ связанных с выполнением работы </v>
      </c>
      <c r="B159" s="803"/>
      <c r="C159" s="803"/>
      <c r="D159" s="803"/>
      <c r="E159" s="803"/>
      <c r="F159" s="803"/>
    </row>
    <row r="160" spans="1:7" x14ac:dyDescent="0.25">
      <c r="A160" s="11"/>
      <c r="B160" s="11"/>
      <c r="C160" s="11"/>
      <c r="D160" s="11"/>
      <c r="E160" s="11"/>
      <c r="F160" s="95">
        <f>D43</f>
        <v>0.3664</v>
      </c>
    </row>
    <row r="161" spans="1:10" ht="31.5" customHeight="1" x14ac:dyDescent="0.25">
      <c r="A161" s="308" t="s">
        <v>0</v>
      </c>
      <c r="B161" s="646" t="s">
        <v>1</v>
      </c>
      <c r="C161" s="324"/>
      <c r="D161" s="646" t="s">
        <v>2</v>
      </c>
      <c r="E161" s="638" t="s">
        <v>3</v>
      </c>
      <c r="F161" s="639"/>
      <c r="G161" s="647" t="s">
        <v>35</v>
      </c>
      <c r="H161" s="324" t="s">
        <v>5</v>
      </c>
      <c r="I161" s="646" t="s">
        <v>6</v>
      </c>
    </row>
    <row r="162" spans="1:10" ht="30" x14ac:dyDescent="0.25">
      <c r="A162" s="386"/>
      <c r="B162" s="646"/>
      <c r="C162" s="324"/>
      <c r="D162" s="646"/>
      <c r="E162" s="324" t="s">
        <v>315</v>
      </c>
      <c r="F162" s="324" t="s">
        <v>242</v>
      </c>
      <c r="G162" s="647"/>
      <c r="H162" s="324" t="s">
        <v>51</v>
      </c>
      <c r="I162" s="646"/>
    </row>
    <row r="163" spans="1:10" x14ac:dyDescent="0.25">
      <c r="A163" s="387"/>
      <c r="B163" s="646"/>
      <c r="C163" s="324"/>
      <c r="D163" s="646"/>
      <c r="E163" s="324" t="s">
        <v>4</v>
      </c>
      <c r="F163" s="53"/>
      <c r="G163" s="647"/>
      <c r="H163" s="324" t="s">
        <v>298</v>
      </c>
      <c r="I163" s="646"/>
    </row>
    <row r="164" spans="1:10" x14ac:dyDescent="0.25">
      <c r="A164" s="794">
        <v>1</v>
      </c>
      <c r="B164" s="646">
        <v>2</v>
      </c>
      <c r="C164" s="324"/>
      <c r="D164" s="646">
        <v>3</v>
      </c>
      <c r="E164" s="646" t="s">
        <v>297</v>
      </c>
      <c r="F164" s="646">
        <v>5</v>
      </c>
      <c r="G164" s="647" t="s">
        <v>7</v>
      </c>
      <c r="H164" s="324" t="s">
        <v>52</v>
      </c>
      <c r="I164" s="646" t="s">
        <v>53</v>
      </c>
    </row>
    <row r="165" spans="1:10" x14ac:dyDescent="0.25">
      <c r="A165" s="794"/>
      <c r="B165" s="646"/>
      <c r="C165" s="324"/>
      <c r="D165" s="646"/>
      <c r="E165" s="646"/>
      <c r="F165" s="646"/>
      <c r="G165" s="647"/>
      <c r="H165" s="54">
        <v>1774.4</v>
      </c>
      <c r="I165" s="646"/>
    </row>
    <row r="166" spans="1:10" x14ac:dyDescent="0.25">
      <c r="A166" s="388" t="str">
        <f>'инновации+добровольчество0,3664'!A160</f>
        <v>Заведующий МЦ</v>
      </c>
      <c r="B166" s="87">
        <f>'таланты+инициативы0,2672'!B123</f>
        <v>91213.26</v>
      </c>
      <c r="C166" s="87"/>
      <c r="D166" s="324">
        <f>1*F160</f>
        <v>0.3664</v>
      </c>
      <c r="E166" s="56">
        <f>D166*1774.4</f>
        <v>650.14016000000004</v>
      </c>
      <c r="F166" s="57">
        <v>1</v>
      </c>
      <c r="G166" s="58">
        <f>E166/F166</f>
        <v>650.14016000000004</v>
      </c>
      <c r="H166" s="56">
        <f>B166*1.302/1774.4*12</f>
        <v>803.15372759242564</v>
      </c>
      <c r="I166" s="56">
        <f>G166*H166+34353.48</f>
        <v>556515.97296153603</v>
      </c>
    </row>
    <row r="167" spans="1:10" x14ac:dyDescent="0.25">
      <c r="A167" s="388" t="str">
        <f>'инновации+добровольчество0,3664'!A161</f>
        <v>Водитель</v>
      </c>
      <c r="B167" s="87">
        <f>'таланты+инициативы0,2672'!B124</f>
        <v>31947</v>
      </c>
      <c r="C167" s="166"/>
      <c r="D167" s="324">
        <f>1*F160</f>
        <v>0.3664</v>
      </c>
      <c r="E167" s="56">
        <f>D167*1774.4</f>
        <v>650.14016000000004</v>
      </c>
      <c r="F167" s="57">
        <v>1</v>
      </c>
      <c r="G167" s="58">
        <f t="shared" ref="G167:G169" si="4">E167/F167</f>
        <v>650.14016000000004</v>
      </c>
      <c r="H167" s="56">
        <f>B167*1.302/1774.4*12</f>
        <v>281.30068079350764</v>
      </c>
      <c r="I167" s="56">
        <f>G167*H167+12026.63</f>
        <v>194911.49961920001</v>
      </c>
    </row>
    <row r="168" spans="1:10" x14ac:dyDescent="0.25">
      <c r="A168" s="388" t="str">
        <f>'инновации+добровольчество0,3664'!A162</f>
        <v>Рабочий по обслуживанию здания</v>
      </c>
      <c r="B168" s="87">
        <f>'таланты+инициативы0,2672'!B125</f>
        <v>31947</v>
      </c>
      <c r="C168" s="58"/>
      <c r="D168" s="324">
        <f>0.5*F160</f>
        <v>0.1832</v>
      </c>
      <c r="E168" s="56">
        <f>D168*1774.4</f>
        <v>325.07008000000002</v>
      </c>
      <c r="F168" s="57">
        <v>1</v>
      </c>
      <c r="G168" s="58">
        <f t="shared" si="4"/>
        <v>325.07008000000002</v>
      </c>
      <c r="H168" s="56">
        <f>B168*1.302/1774.4*12</f>
        <v>281.30068079350764</v>
      </c>
      <c r="I168" s="56">
        <f>G168*H168+6013.31</f>
        <v>97455.744809600001</v>
      </c>
    </row>
    <row r="169" spans="1:10" x14ac:dyDescent="0.25">
      <c r="A169" s="388" t="str">
        <f>'инновации+добровольчество0,3664'!A163</f>
        <v>Уборщик служебных помещений</v>
      </c>
      <c r="B169" s="87">
        <f>'таланты+инициативы0,2672'!B126</f>
        <v>31947</v>
      </c>
      <c r="C169" s="326"/>
      <c r="D169" s="324">
        <f>1*F160</f>
        <v>0.3664</v>
      </c>
      <c r="E169" s="56">
        <f>D169*1774.4</f>
        <v>650.14016000000004</v>
      </c>
      <c r="F169" s="57">
        <v>1</v>
      </c>
      <c r="G169" s="58">
        <f t="shared" si="4"/>
        <v>650.14016000000004</v>
      </c>
      <c r="H169" s="56">
        <f>B169*1.302/1774.4*12</f>
        <v>281.30068079350764</v>
      </c>
      <c r="I169" s="56">
        <f>G169*H169+12026.64</f>
        <v>194911.50961920002</v>
      </c>
      <c r="J169" s="162"/>
    </row>
    <row r="170" spans="1:10" x14ac:dyDescent="0.25">
      <c r="A170" s="804" t="s">
        <v>28</v>
      </c>
      <c r="B170" s="805"/>
      <c r="C170" s="805"/>
      <c r="D170" s="805"/>
      <c r="E170" s="805"/>
      <c r="F170" s="806"/>
      <c r="G170" s="349"/>
      <c r="H170" s="349"/>
      <c r="I170" s="385">
        <f>SUM(I166:I169)</f>
        <v>1043794.7270095361</v>
      </c>
    </row>
    <row r="171" spans="1:10" x14ac:dyDescent="0.25">
      <c r="A171" s="389"/>
      <c r="B171" s="389"/>
      <c r="C171" s="389"/>
      <c r="D171" s="390"/>
      <c r="E171" s="390"/>
      <c r="F171" s="390"/>
      <c r="G171" s="390"/>
      <c r="H171" s="390"/>
      <c r="I171" s="391"/>
    </row>
    <row r="172" spans="1:10" s="45" customFormat="1" ht="14.45" customHeight="1" x14ac:dyDescent="0.25">
      <c r="A172" s="700" t="s">
        <v>339</v>
      </c>
      <c r="B172" s="700"/>
      <c r="C172" s="700"/>
      <c r="D172" s="640"/>
      <c r="E172" s="640"/>
      <c r="F172" s="640"/>
      <c r="G172" s="640"/>
      <c r="H172" s="640"/>
    </row>
    <row r="173" spans="1:10" s="45" customFormat="1" ht="14.45" customHeight="1" x14ac:dyDescent="0.25">
      <c r="A173" s="649" t="s">
        <v>60</v>
      </c>
      <c r="B173" s="652" t="s">
        <v>155</v>
      </c>
      <c r="C173" s="653"/>
      <c r="D173" s="658"/>
      <c r="E173" s="659"/>
      <c r="F173" s="660"/>
      <c r="G173" s="207"/>
      <c r="H173" s="207"/>
    </row>
    <row r="174" spans="1:10" s="45" customFormat="1" ht="14.45" customHeight="1" x14ac:dyDescent="0.25">
      <c r="A174" s="650"/>
      <c r="B174" s="654"/>
      <c r="C174" s="655"/>
      <c r="D174" s="661" t="s">
        <v>159</v>
      </c>
      <c r="E174" s="650" t="s">
        <v>165</v>
      </c>
      <c r="F174" s="650" t="s">
        <v>6</v>
      </c>
    </row>
    <row r="175" spans="1:10" s="45" customFormat="1" ht="15" x14ac:dyDescent="0.25">
      <c r="A175" s="651"/>
      <c r="B175" s="656"/>
      <c r="C175" s="657"/>
      <c r="D175" s="662"/>
      <c r="E175" s="651"/>
      <c r="F175" s="651"/>
    </row>
    <row r="176" spans="1:10" s="45" customFormat="1" ht="15" x14ac:dyDescent="0.25">
      <c r="A176" s="315">
        <v>1</v>
      </c>
      <c r="B176" s="663">
        <v>2</v>
      </c>
      <c r="C176" s="664"/>
      <c r="D176" s="315">
        <v>5</v>
      </c>
      <c r="E176" s="315">
        <v>6</v>
      </c>
      <c r="F176" s="315">
        <v>7</v>
      </c>
    </row>
    <row r="177" spans="1:8" s="45" customFormat="1" ht="15" x14ac:dyDescent="0.25">
      <c r="A177" s="313" t="s">
        <v>162</v>
      </c>
      <c r="B177" s="315">
        <f>F194</f>
        <v>0.3664</v>
      </c>
      <c r="C177" s="314"/>
      <c r="D177" s="145">
        <f>'таланты+инициативы0,2672'!D135</f>
        <v>52769.77</v>
      </c>
      <c r="E177" s="178">
        <f t="shared" ref="E177:E179" si="5">D177*30.2%</f>
        <v>15936.470539999998</v>
      </c>
      <c r="F177" s="178">
        <f>(D177+E177)*B177</f>
        <v>25173.966533856001</v>
      </c>
    </row>
    <row r="178" spans="1:8" s="45" customFormat="1" ht="15" x14ac:dyDescent="0.25">
      <c r="A178" s="313" t="s">
        <v>163</v>
      </c>
      <c r="B178" s="315">
        <f>1*F160</f>
        <v>0.3664</v>
      </c>
      <c r="C178" s="314"/>
      <c r="D178" s="145">
        <f>'таланты+инициативы0,2672'!D136</f>
        <v>26384.89</v>
      </c>
      <c r="E178" s="178">
        <f t="shared" si="5"/>
        <v>7968.2367799999993</v>
      </c>
      <c r="F178" s="178">
        <f t="shared" ref="F178:F179" si="6">(D178+E178)*B178</f>
        <v>12586.985652191999</v>
      </c>
    </row>
    <row r="179" spans="1:8" s="45" customFormat="1" ht="15" x14ac:dyDescent="0.25">
      <c r="A179" s="313" t="s">
        <v>142</v>
      </c>
      <c r="B179" s="315">
        <f>1*F160</f>
        <v>0.3664</v>
      </c>
      <c r="C179" s="314"/>
      <c r="D179" s="145">
        <f>'таланты+инициативы0,2672'!D137</f>
        <v>52769.77</v>
      </c>
      <c r="E179" s="178">
        <f t="shared" si="5"/>
        <v>15936.470539999998</v>
      </c>
      <c r="F179" s="178">
        <f t="shared" si="6"/>
        <v>25173.966533856001</v>
      </c>
    </row>
    <row r="180" spans="1:8" s="45" customFormat="1" ht="15" x14ac:dyDescent="0.25">
      <c r="A180" s="148"/>
      <c r="B180" s="311"/>
      <c r="C180" s="149"/>
      <c r="D180" s="124"/>
      <c r="E180" s="124"/>
      <c r="F180" s="275">
        <f>F177+F178+F179</f>
        <v>62934.918719904003</v>
      </c>
    </row>
    <row r="181" spans="1:8" s="45" customFormat="1" ht="14.45" hidden="1" customHeight="1" x14ac:dyDescent="0.25">
      <c r="A181" s="700" t="s">
        <v>167</v>
      </c>
      <c r="B181" s="700"/>
      <c r="C181" s="700"/>
      <c r="D181" s="700"/>
      <c r="E181" s="700"/>
      <c r="F181" s="700"/>
      <c r="G181" s="700"/>
      <c r="H181" s="700"/>
    </row>
    <row r="182" spans="1:8" s="45" customFormat="1" ht="14.45" hidden="1" customHeight="1" x14ac:dyDescent="0.25">
      <c r="A182" s="649" t="s">
        <v>60</v>
      </c>
      <c r="B182" s="652" t="s">
        <v>155</v>
      </c>
      <c r="C182" s="812"/>
      <c r="D182" s="663" t="s">
        <v>156</v>
      </c>
      <c r="E182" s="739"/>
      <c r="F182" s="739"/>
      <c r="G182" s="739"/>
      <c r="H182" s="664"/>
    </row>
    <row r="183" spans="1:8" s="45" customFormat="1" ht="14.45" hidden="1" customHeight="1" x14ac:dyDescent="0.25">
      <c r="A183" s="650"/>
      <c r="B183" s="654"/>
      <c r="C183" s="655"/>
      <c r="D183" s="680" t="s">
        <v>157</v>
      </c>
      <c r="E183" s="649" t="s">
        <v>158</v>
      </c>
      <c r="F183" s="807" t="s">
        <v>159</v>
      </c>
      <c r="G183" s="649" t="s">
        <v>165</v>
      </c>
      <c r="H183" s="649" t="s">
        <v>6</v>
      </c>
    </row>
    <row r="184" spans="1:8" s="45" customFormat="1" ht="15" hidden="1" x14ac:dyDescent="0.25">
      <c r="A184" s="651"/>
      <c r="B184" s="656"/>
      <c r="C184" s="657"/>
      <c r="D184" s="808"/>
      <c r="E184" s="651"/>
      <c r="F184" s="662"/>
      <c r="G184" s="651"/>
      <c r="H184" s="651"/>
    </row>
    <row r="185" spans="1:8" s="45" customFormat="1" ht="15" hidden="1" x14ac:dyDescent="0.25">
      <c r="A185" s="315">
        <v>1</v>
      </c>
      <c r="B185" s="663">
        <v>2</v>
      </c>
      <c r="C185" s="664"/>
      <c r="D185" s="315">
        <v>3</v>
      </c>
      <c r="E185" s="315">
        <v>4</v>
      </c>
      <c r="F185" s="315">
        <v>5</v>
      </c>
      <c r="G185" s="315">
        <v>6</v>
      </c>
      <c r="H185" s="315">
        <v>7</v>
      </c>
    </row>
    <row r="186" spans="1:8" s="45" customFormat="1" ht="15" hidden="1" x14ac:dyDescent="0.25">
      <c r="A186" s="313" t="s">
        <v>160</v>
      </c>
      <c r="B186" s="315">
        <v>0.39300000000000002</v>
      </c>
      <c r="C186" s="314">
        <v>1</v>
      </c>
      <c r="D186" s="145">
        <v>30497.8</v>
      </c>
      <c r="E186" s="109">
        <v>41441.4</v>
      </c>
      <c r="F186" s="145">
        <f>30497.8*0.393</f>
        <v>11985.635400000001</v>
      </c>
      <c r="G186" s="178">
        <f>F186*30.2%</f>
        <v>3619.6618908</v>
      </c>
      <c r="H186" s="178">
        <f>F186+G186</f>
        <v>15605.297290800001</v>
      </c>
    </row>
    <row r="187" spans="1:8" s="45" customFormat="1" ht="15" hidden="1" x14ac:dyDescent="0.25">
      <c r="A187" s="313" t="s">
        <v>162</v>
      </c>
      <c r="B187" s="315">
        <f>1*0.393</f>
        <v>0.39300000000000002</v>
      </c>
      <c r="C187" s="314"/>
      <c r="D187" s="145">
        <v>8353.5499999999993</v>
      </c>
      <c r="E187" s="109">
        <v>11244.72</v>
      </c>
      <c r="F187" s="145">
        <f>8353.55*0.393</f>
        <v>3282.94515</v>
      </c>
      <c r="G187" s="178">
        <f>F187*30.2%</f>
        <v>991.4494353</v>
      </c>
      <c r="H187" s="178">
        <f>F187+G187</f>
        <v>4274.3945853000005</v>
      </c>
    </row>
    <row r="188" spans="1:8" s="45" customFormat="1" ht="15" hidden="1" x14ac:dyDescent="0.25">
      <c r="A188" s="313" t="s">
        <v>163</v>
      </c>
      <c r="B188" s="315">
        <f>0.5*0.393</f>
        <v>0.19650000000000001</v>
      </c>
      <c r="C188" s="314"/>
      <c r="D188" s="145">
        <v>3761.62</v>
      </c>
      <c r="E188" s="109">
        <v>4983</v>
      </c>
      <c r="F188" s="145">
        <f>3761.62*0.393</f>
        <v>1478.31666</v>
      </c>
      <c r="G188" s="178">
        <f>F188*30.2%</f>
        <v>446.45163131999999</v>
      </c>
      <c r="H188" s="178">
        <f>F188+G188</f>
        <v>1924.7682913199999</v>
      </c>
    </row>
    <row r="189" spans="1:8" s="45" customFormat="1" ht="15" hidden="1" x14ac:dyDescent="0.25">
      <c r="A189" s="313" t="s">
        <v>142</v>
      </c>
      <c r="B189" s="315">
        <f>1*0.393</f>
        <v>0.39300000000000002</v>
      </c>
      <c r="C189" s="314"/>
      <c r="D189" s="145">
        <v>6266.1</v>
      </c>
      <c r="E189" s="109">
        <v>8398.2000000000007</v>
      </c>
      <c r="F189" s="145">
        <f>6266.1*0.393</f>
        <v>2462.5773000000004</v>
      </c>
      <c r="G189" s="178">
        <f>F189*30.2%</f>
        <v>743.69834460000004</v>
      </c>
      <c r="H189" s="178">
        <f>F189+G189</f>
        <v>3206.2756446000003</v>
      </c>
    </row>
    <row r="190" spans="1:8" s="45" customFormat="1" ht="15" hidden="1" x14ac:dyDescent="0.25">
      <c r="A190" s="313" t="s">
        <v>164</v>
      </c>
      <c r="B190" s="315">
        <f>3*0.393</f>
        <v>1.179</v>
      </c>
      <c r="C190" s="314"/>
      <c r="D190" s="145">
        <v>20749.32</v>
      </c>
      <c r="E190" s="109">
        <v>28148.04</v>
      </c>
      <c r="F190" s="145">
        <f>20749.32*0.393</f>
        <v>8154.4827599999999</v>
      </c>
      <c r="G190" s="178">
        <f>F190*30.2%</f>
        <v>2462.6537935199999</v>
      </c>
      <c r="H190" s="178">
        <f>F190+G190</f>
        <v>10617.13655352</v>
      </c>
    </row>
    <row r="191" spans="1:8" s="45" customFormat="1" ht="18.75" hidden="1" x14ac:dyDescent="0.25">
      <c r="A191" s="148"/>
      <c r="B191" s="311"/>
      <c r="C191" s="149"/>
      <c r="D191" s="124">
        <f>SUM(D186:D190)</f>
        <v>69628.39</v>
      </c>
      <c r="E191" s="124">
        <f>SUM(E186:E190)</f>
        <v>94215.360000000015</v>
      </c>
      <c r="F191" s="124">
        <f>SUM(F186:F190)</f>
        <v>27363.957269999999</v>
      </c>
      <c r="G191" s="124">
        <f>SUM(G186:G190)</f>
        <v>8263.91509554</v>
      </c>
      <c r="H191" s="219"/>
    </row>
    <row r="192" spans="1:8" s="45" customFormat="1" ht="18.75" x14ac:dyDescent="0.25">
      <c r="A192" s="395"/>
      <c r="B192" s="396"/>
      <c r="C192" s="396"/>
      <c r="D192" s="397"/>
      <c r="E192" s="397"/>
      <c r="F192" s="397"/>
      <c r="G192" s="206"/>
      <c r="H192" s="208"/>
    </row>
    <row r="193" spans="1:8" ht="15.6" customHeight="1" x14ac:dyDescent="0.25">
      <c r="A193" s="644" t="s">
        <v>12</v>
      </c>
      <c r="B193" s="644"/>
      <c r="C193" s="644"/>
      <c r="D193" s="644"/>
      <c r="E193" s="644"/>
      <c r="F193" s="644"/>
      <c r="H193" s="162"/>
    </row>
    <row r="194" spans="1:8" x14ac:dyDescent="0.25">
      <c r="A194" s="156"/>
      <c r="B194" s="156"/>
      <c r="C194" s="156"/>
      <c r="D194" s="156"/>
      <c r="E194" s="156"/>
      <c r="F194" s="157">
        <f>F160</f>
        <v>0.3664</v>
      </c>
    </row>
    <row r="195" spans="1:8" ht="15.75" customHeight="1" x14ac:dyDescent="0.25">
      <c r="A195" s="794" t="s">
        <v>13</v>
      </c>
      <c r="B195" s="794" t="s">
        <v>11</v>
      </c>
      <c r="C195" s="353"/>
      <c r="D195" s="794" t="s">
        <v>14</v>
      </c>
      <c r="E195" s="794" t="s">
        <v>15</v>
      </c>
      <c r="F195" s="813" t="s">
        <v>6</v>
      </c>
    </row>
    <row r="196" spans="1:8" x14ac:dyDescent="0.25">
      <c r="A196" s="794"/>
      <c r="B196" s="794"/>
      <c r="C196" s="353"/>
      <c r="D196" s="794"/>
      <c r="E196" s="794"/>
      <c r="F196" s="814"/>
    </row>
    <row r="197" spans="1:8" ht="16.5" thickBot="1" x14ac:dyDescent="0.3">
      <c r="A197" s="306">
        <v>1</v>
      </c>
      <c r="B197" s="306">
        <v>2</v>
      </c>
      <c r="C197" s="306"/>
      <c r="D197" s="306">
        <v>3</v>
      </c>
      <c r="E197" s="306">
        <v>4</v>
      </c>
      <c r="F197" s="306" t="s">
        <v>174</v>
      </c>
    </row>
    <row r="198" spans="1:8" x14ac:dyDescent="0.25">
      <c r="A198" s="451" t="s">
        <v>17</v>
      </c>
      <c r="B198" s="475" t="s">
        <v>18</v>
      </c>
      <c r="C198" s="475"/>
      <c r="D198" s="476">
        <f>55*F194</f>
        <v>20.152000000000001</v>
      </c>
      <c r="E198" s="426">
        <v>3520</v>
      </c>
      <c r="F198" s="477">
        <f>D198*E198+0.22</f>
        <v>70935.260000000009</v>
      </c>
    </row>
    <row r="199" spans="1:8" ht="18.75" x14ac:dyDescent="0.25">
      <c r="A199" s="452" t="s">
        <v>248</v>
      </c>
      <c r="B199" s="459" t="s">
        <v>193</v>
      </c>
      <c r="C199" s="459"/>
      <c r="D199" s="459">
        <f>106.3*F194</f>
        <v>38.948320000000002</v>
      </c>
      <c r="E199" s="427">
        <v>63.4</v>
      </c>
      <c r="F199" s="478">
        <f>D199*E199</f>
        <v>2469.323488</v>
      </c>
    </row>
    <row r="200" spans="1:8" ht="18.75" x14ac:dyDescent="0.25">
      <c r="A200" s="452" t="s">
        <v>249</v>
      </c>
      <c r="B200" s="459" t="s">
        <v>54</v>
      </c>
      <c r="C200" s="459"/>
      <c r="D200" s="459">
        <f>3*F194</f>
        <v>1.0992</v>
      </c>
      <c r="E200" s="427">
        <v>14000</v>
      </c>
      <c r="F200" s="478">
        <f t="shared" ref="F200:F203" si="7">D200*E200</f>
        <v>15388.8</v>
      </c>
    </row>
    <row r="201" spans="1:8" x14ac:dyDescent="0.25">
      <c r="A201" s="452" t="s">
        <v>16</v>
      </c>
      <c r="B201" s="459" t="s">
        <v>83</v>
      </c>
      <c r="C201" s="459"/>
      <c r="D201" s="97">
        <f>6*F194</f>
        <v>2.1983999999999999</v>
      </c>
      <c r="E201" s="427">
        <v>7600</v>
      </c>
      <c r="F201" s="478">
        <f t="shared" si="7"/>
        <v>16707.84</v>
      </c>
    </row>
    <row r="202" spans="1:8" x14ac:dyDescent="0.25">
      <c r="A202" s="452" t="s">
        <v>205</v>
      </c>
      <c r="B202" s="457" t="s">
        <v>22</v>
      </c>
      <c r="C202" s="458"/>
      <c r="D202" s="163">
        <f>8*F194</f>
        <v>2.9312</v>
      </c>
      <c r="E202" s="427">
        <v>2250</v>
      </c>
      <c r="F202" s="478">
        <f t="shared" si="7"/>
        <v>6595.2</v>
      </c>
    </row>
    <row r="203" spans="1:8" ht="16.5" thickBot="1" x14ac:dyDescent="0.3">
      <c r="A203" s="453" t="s">
        <v>250</v>
      </c>
      <c r="B203" s="479" t="s">
        <v>83</v>
      </c>
      <c r="C203" s="480"/>
      <c r="D203" s="481">
        <f>5*F194</f>
        <v>1.8320000000000001</v>
      </c>
      <c r="E203" s="428">
        <v>7600</v>
      </c>
      <c r="F203" s="482">
        <f t="shared" si="7"/>
        <v>13923.2</v>
      </c>
    </row>
    <row r="204" spans="1:8" ht="18.75" x14ac:dyDescent="0.25">
      <c r="A204" s="820"/>
      <c r="B204" s="820"/>
      <c r="C204" s="820"/>
      <c r="D204" s="820"/>
      <c r="E204" s="820"/>
      <c r="F204" s="394">
        <f>SUM(F198:F203)</f>
        <v>126019.623488</v>
      </c>
    </row>
    <row r="205" spans="1:8" x14ac:dyDescent="0.25">
      <c r="A205" s="95"/>
      <c r="B205" s="95"/>
      <c r="C205" s="95"/>
      <c r="D205" s="95"/>
      <c r="E205" s="95"/>
      <c r="F205" s="96"/>
    </row>
    <row r="206" spans="1:8" x14ac:dyDescent="0.25">
      <c r="A206" s="811" t="s">
        <v>110</v>
      </c>
      <c r="B206" s="811"/>
      <c r="C206" s="811"/>
      <c r="D206" s="811"/>
      <c r="E206" s="811"/>
      <c r="F206" s="811"/>
      <c r="G206" s="180"/>
    </row>
    <row r="207" spans="1:8" ht="25.5" x14ac:dyDescent="0.25">
      <c r="A207" s="313" t="s">
        <v>111</v>
      </c>
      <c r="B207" s="315" t="s">
        <v>112</v>
      </c>
      <c r="C207" s="338"/>
      <c r="D207" s="315" t="s">
        <v>116</v>
      </c>
      <c r="E207" s="315" t="s">
        <v>113</v>
      </c>
      <c r="F207" s="315" t="s">
        <v>114</v>
      </c>
      <c r="G207" s="327" t="s">
        <v>6</v>
      </c>
    </row>
    <row r="208" spans="1:8" x14ac:dyDescent="0.25">
      <c r="A208" s="313">
        <v>1</v>
      </c>
      <c r="B208" s="315">
        <v>2</v>
      </c>
      <c r="C208" s="338"/>
      <c r="D208" s="315">
        <v>3</v>
      </c>
      <c r="E208" s="315">
        <v>4</v>
      </c>
      <c r="F208" s="315">
        <v>5</v>
      </c>
      <c r="G208" s="360" t="s">
        <v>337</v>
      </c>
    </row>
    <row r="209" spans="1:7" x14ac:dyDescent="0.25">
      <c r="A209" s="315" t="s">
        <v>115</v>
      </c>
      <c r="B209" s="315">
        <v>1</v>
      </c>
      <c r="C209" s="315">
        <f>'инновации+добровольчество0,3664'!C180</f>
        <v>0</v>
      </c>
      <c r="D209" s="315">
        <f>'инновации+добровольчество0,3664'!D180</f>
        <v>12</v>
      </c>
      <c r="E209" s="315">
        <f>'инновации+добровольчество0,3664'!E180</f>
        <v>75</v>
      </c>
      <c r="F209" s="109">
        <v>242.5</v>
      </c>
      <c r="G209" s="159">
        <f>F209*D216</f>
        <v>88.852000000000004</v>
      </c>
    </row>
    <row r="210" spans="1:7" ht="18.75" x14ac:dyDescent="0.25">
      <c r="A210" s="123"/>
      <c r="B210" s="123"/>
      <c r="C210" s="123"/>
      <c r="D210" s="123"/>
      <c r="E210" s="311" t="s">
        <v>88</v>
      </c>
      <c r="F210" s="124"/>
      <c r="G210" s="279">
        <f>G209</f>
        <v>88.852000000000004</v>
      </c>
    </row>
    <row r="211" spans="1:7" x14ac:dyDescent="0.25">
      <c r="A211" s="95"/>
      <c r="B211" s="95"/>
      <c r="C211" s="95"/>
      <c r="D211" s="95"/>
      <c r="E211" s="95"/>
      <c r="F211" s="96"/>
    </row>
    <row r="212" spans="1:7" x14ac:dyDescent="0.25">
      <c r="A212" s="95"/>
      <c r="B212" s="95"/>
      <c r="C212" s="95"/>
      <c r="D212" s="95"/>
      <c r="E212" s="95"/>
      <c r="F212" s="96"/>
    </row>
    <row r="213" spans="1:7" x14ac:dyDescent="0.25">
      <c r="A213" s="95"/>
      <c r="B213" s="95"/>
      <c r="C213" s="95"/>
      <c r="D213" s="95"/>
      <c r="E213" s="95"/>
      <c r="F213" s="96"/>
    </row>
    <row r="214" spans="1:7" x14ac:dyDescent="0.25">
      <c r="A214" s="821" t="s">
        <v>246</v>
      </c>
      <c r="B214" s="821"/>
      <c r="C214" s="821"/>
      <c r="D214" s="821"/>
      <c r="E214" s="821"/>
      <c r="F214" s="821"/>
    </row>
    <row r="215" spans="1:7" x14ac:dyDescent="0.25">
      <c r="A215" s="352" t="s">
        <v>81</v>
      </c>
      <c r="B215" s="6" t="s">
        <v>245</v>
      </c>
      <c r="C215" s="6"/>
      <c r="D215" s="6"/>
    </row>
    <row r="216" spans="1:7" x14ac:dyDescent="0.25">
      <c r="D216" s="153">
        <f>F194</f>
        <v>0.3664</v>
      </c>
    </row>
    <row r="217" spans="1:7" ht="13.15" customHeight="1" x14ac:dyDescent="0.25">
      <c r="A217" s="795" t="s">
        <v>27</v>
      </c>
      <c r="B217" s="795"/>
      <c r="C217" s="343"/>
      <c r="D217" s="795" t="s">
        <v>11</v>
      </c>
      <c r="E217" s="343" t="s">
        <v>48</v>
      </c>
      <c r="F217" s="343" t="s">
        <v>15</v>
      </c>
      <c r="G217" s="809" t="s">
        <v>6</v>
      </c>
    </row>
    <row r="218" spans="1:7" x14ac:dyDescent="0.25">
      <c r="A218" s="795"/>
      <c r="B218" s="795"/>
      <c r="C218" s="343"/>
      <c r="D218" s="795"/>
      <c r="E218" s="343"/>
      <c r="F218" s="343"/>
      <c r="G218" s="810"/>
    </row>
    <row r="219" spans="1:7" x14ac:dyDescent="0.25">
      <c r="A219" s="796">
        <v>1</v>
      </c>
      <c r="B219" s="797"/>
      <c r="C219" s="344"/>
      <c r="D219" s="343">
        <v>2</v>
      </c>
      <c r="E219" s="343">
        <v>3</v>
      </c>
      <c r="F219" s="343">
        <v>4</v>
      </c>
      <c r="G219" s="78" t="s">
        <v>68</v>
      </c>
    </row>
    <row r="220" spans="1:7" x14ac:dyDescent="0.25">
      <c r="A220" s="798" t="str">
        <f>A46</f>
        <v>Суточные</v>
      </c>
      <c r="B220" s="799"/>
      <c r="C220" s="346"/>
      <c r="D220" s="343" t="str">
        <f>D46</f>
        <v>сутки</v>
      </c>
      <c r="E220" s="222">
        <f>17*D216*5</f>
        <v>31.143999999999998</v>
      </c>
      <c r="F220" s="474">
        <f>'таланты+инициативы0,2672'!F164</f>
        <v>450</v>
      </c>
      <c r="G220" s="81">
        <f>E220*F220</f>
        <v>14014.8</v>
      </c>
    </row>
    <row r="221" spans="1:7" x14ac:dyDescent="0.25">
      <c r="A221" s="798" t="str">
        <f>A47</f>
        <v>Проезд</v>
      </c>
      <c r="B221" s="799"/>
      <c r="C221" s="346"/>
      <c r="D221" s="343" t="str">
        <f>D47</f>
        <v xml:space="preserve">Ед. </v>
      </c>
      <c r="E221" s="222">
        <f>17*D216*2</f>
        <v>12.457599999999999</v>
      </c>
      <c r="F221" s="474">
        <f>'таланты+инициативы0,2672'!F165</f>
        <v>8200</v>
      </c>
      <c r="G221" s="81">
        <f>E221*F221</f>
        <v>102152.31999999999</v>
      </c>
    </row>
    <row r="222" spans="1:7" x14ac:dyDescent="0.25">
      <c r="A222" s="798" t="str">
        <f>A48</f>
        <v xml:space="preserve">Проживание </v>
      </c>
      <c r="B222" s="799"/>
      <c r="C222" s="346"/>
      <c r="D222" s="343" t="str">
        <f>D48</f>
        <v>сутки</v>
      </c>
      <c r="E222" s="222">
        <f>17*3*D216</f>
        <v>18.686399999999999</v>
      </c>
      <c r="F222" s="474">
        <f>'таланты+инициативы0,2672'!F166</f>
        <v>1257.8399999999999</v>
      </c>
      <c r="G222" s="81">
        <f>E222*F222+0.06</f>
        <v>23504.561375999998</v>
      </c>
    </row>
    <row r="223" spans="1:7" ht="18.75" x14ac:dyDescent="0.25">
      <c r="A223" s="827" t="s">
        <v>119</v>
      </c>
      <c r="B223" s="828"/>
      <c r="C223" s="354"/>
      <c r="D223" s="79"/>
      <c r="E223" s="82"/>
      <c r="F223" s="82"/>
      <c r="G223" s="270">
        <f>SUM(G220:G222)</f>
        <v>139671.68137599999</v>
      </c>
    </row>
    <row r="224" spans="1:7" x14ac:dyDescent="0.25">
      <c r="A224" s="817" t="s">
        <v>36</v>
      </c>
      <c r="B224" s="817"/>
      <c r="C224" s="817"/>
      <c r="D224" s="817"/>
      <c r="E224" s="817"/>
      <c r="F224" s="817"/>
    </row>
    <row r="225" spans="1:7" x14ac:dyDescent="0.25">
      <c r="D225" s="160">
        <f>D216</f>
        <v>0.3664</v>
      </c>
    </row>
    <row r="226" spans="1:7" x14ac:dyDescent="0.25">
      <c r="A226" s="795" t="s">
        <v>24</v>
      </c>
      <c r="B226" s="795" t="s">
        <v>11</v>
      </c>
      <c r="C226" s="343"/>
      <c r="D226" s="795" t="s">
        <v>48</v>
      </c>
      <c r="E226" s="795" t="s">
        <v>15</v>
      </c>
      <c r="F226" s="818" t="s">
        <v>177</v>
      </c>
      <c r="G226" s="809" t="s">
        <v>6</v>
      </c>
    </row>
    <row r="227" spans="1:7" x14ac:dyDescent="0.25">
      <c r="A227" s="795"/>
      <c r="B227" s="795"/>
      <c r="C227" s="343"/>
      <c r="D227" s="795"/>
      <c r="E227" s="795"/>
      <c r="F227" s="819"/>
      <c r="G227" s="810"/>
    </row>
    <row r="228" spans="1:7" x14ac:dyDescent="0.25">
      <c r="A228" s="343">
        <v>1</v>
      </c>
      <c r="B228" s="343">
        <v>2</v>
      </c>
      <c r="C228" s="343"/>
      <c r="D228" s="343">
        <v>3</v>
      </c>
      <c r="E228" s="473">
        <v>4</v>
      </c>
      <c r="F228" s="473">
        <v>5</v>
      </c>
      <c r="G228" s="78" t="s">
        <v>69</v>
      </c>
    </row>
    <row r="229" spans="1:7" x14ac:dyDescent="0.25">
      <c r="A229" s="55" t="str">
        <f>'инновации+добровольчество0,3664'!A210</f>
        <v>переговоры по району, мин</v>
      </c>
      <c r="B229" s="324" t="s">
        <v>22</v>
      </c>
      <c r="C229" s="315"/>
      <c r="D229" s="401">
        <v>0</v>
      </c>
      <c r="E229" s="393">
        <f>'таланты+инициативы0,2672'!E173</f>
        <v>6.5</v>
      </c>
      <c r="F229" s="472">
        <f>'таланты+инициативы0,2672'!F173</f>
        <v>12</v>
      </c>
      <c r="G229" s="81">
        <f t="shared" ref="G229:G233" si="8">D229*E229*F229</f>
        <v>0</v>
      </c>
    </row>
    <row r="230" spans="1:7" x14ac:dyDescent="0.25">
      <c r="A230" s="55" t="str">
        <f>'инновации+добровольчество0,3664'!A211</f>
        <v>Переговоры за пределами района,мин</v>
      </c>
      <c r="B230" s="324" t="s">
        <v>22</v>
      </c>
      <c r="C230" s="315"/>
      <c r="D230" s="398">
        <f>37.5*D225</f>
        <v>13.74</v>
      </c>
      <c r="E230" s="393">
        <f>'таланты+инициативы0,2672'!E174</f>
        <v>4</v>
      </c>
      <c r="F230" s="472">
        <f>'таланты+инициативы0,2672'!F174</f>
        <v>12</v>
      </c>
      <c r="G230" s="81">
        <f>D230*E230*F230</f>
        <v>659.52</v>
      </c>
    </row>
    <row r="231" spans="1:7" x14ac:dyDescent="0.25">
      <c r="A231" s="55" t="str">
        <f>'инновации+добровольчество0,3664'!A212</f>
        <v>Абоненская плата за услуги связи, номеров</v>
      </c>
      <c r="B231" s="324" t="s">
        <v>22</v>
      </c>
      <c r="C231" s="315"/>
      <c r="D231" s="399">
        <f>1*D225</f>
        <v>0.3664</v>
      </c>
      <c r="E231" s="393">
        <f>'таланты+инициативы0,2672'!E175</f>
        <v>2183</v>
      </c>
      <c r="F231" s="472">
        <f>'таланты+инициативы0,2672'!F175</f>
        <v>12</v>
      </c>
      <c r="G231" s="81">
        <f t="shared" si="8"/>
        <v>9598.2144000000008</v>
      </c>
    </row>
    <row r="232" spans="1:7" x14ac:dyDescent="0.25">
      <c r="A232" s="55" t="str">
        <f>'инновации+добровольчество0,3664'!A213</f>
        <v xml:space="preserve">Абоненская плата за услуги Интернет </v>
      </c>
      <c r="B232" s="324" t="s">
        <v>22</v>
      </c>
      <c r="C232" s="315"/>
      <c r="D232" s="399">
        <f>1*D225</f>
        <v>0.3664</v>
      </c>
      <c r="E232" s="393">
        <f>'таланты+инициативы0,2672'!E176</f>
        <v>16800</v>
      </c>
      <c r="F232" s="472">
        <f>'таланты+инициативы0,2672'!F176</f>
        <v>12</v>
      </c>
      <c r="G232" s="81">
        <f>D232*E232*F232+1.46</f>
        <v>73867.700000000012</v>
      </c>
    </row>
    <row r="233" spans="1:7" x14ac:dyDescent="0.25">
      <c r="A233" s="55" t="str">
        <f>'инновации+добровольчество0,3664'!A214</f>
        <v>Почтовые конверты</v>
      </c>
      <c r="B233" s="324" t="s">
        <v>84</v>
      </c>
      <c r="C233" s="315"/>
      <c r="D233" s="399">
        <f>1*D225</f>
        <v>0.3664</v>
      </c>
      <c r="E233" s="393">
        <f>'таланты+инициативы0,2672'!E177</f>
        <v>680</v>
      </c>
      <c r="F233" s="472">
        <f>'таланты+инициативы0,2672'!F177</f>
        <v>1</v>
      </c>
      <c r="G233" s="81">
        <f t="shared" si="8"/>
        <v>249.15200000000002</v>
      </c>
    </row>
    <row r="234" spans="1:7" ht="18.75" x14ac:dyDescent="0.3">
      <c r="A234" s="826" t="s">
        <v>26</v>
      </c>
      <c r="B234" s="826"/>
      <c r="C234" s="826"/>
      <c r="D234" s="826"/>
      <c r="E234" s="826"/>
      <c r="F234" s="826"/>
      <c r="G234" s="273">
        <f>SUM(G229:G233)</f>
        <v>84374.586400000015</v>
      </c>
    </row>
    <row r="235" spans="1:7" x14ac:dyDescent="0.25">
      <c r="A235" s="817" t="s">
        <v>55</v>
      </c>
      <c r="B235" s="817"/>
      <c r="C235" s="817"/>
      <c r="D235" s="817"/>
      <c r="E235" s="817"/>
      <c r="F235" s="817"/>
    </row>
    <row r="236" spans="1:7" x14ac:dyDescent="0.25">
      <c r="D236" s="160">
        <f>D225</f>
        <v>0.3664</v>
      </c>
    </row>
    <row r="237" spans="1:7" x14ac:dyDescent="0.25">
      <c r="A237" s="795" t="s">
        <v>194</v>
      </c>
      <c r="B237" s="795" t="s">
        <v>11</v>
      </c>
      <c r="C237" s="343"/>
      <c r="D237" s="795" t="s">
        <v>48</v>
      </c>
      <c r="E237" s="795" t="s">
        <v>15</v>
      </c>
      <c r="F237" s="818" t="s">
        <v>25</v>
      </c>
      <c r="G237" s="809" t="s">
        <v>6</v>
      </c>
    </row>
    <row r="238" spans="1:7" x14ac:dyDescent="0.25">
      <c r="A238" s="795"/>
      <c r="B238" s="795"/>
      <c r="C238" s="343"/>
      <c r="D238" s="795"/>
      <c r="E238" s="795"/>
      <c r="F238" s="819"/>
      <c r="G238" s="810"/>
    </row>
    <row r="239" spans="1:7" x14ac:dyDescent="0.25">
      <c r="A239" s="343">
        <v>1</v>
      </c>
      <c r="B239" s="343">
        <v>2</v>
      </c>
      <c r="C239" s="343"/>
      <c r="D239" s="343">
        <v>3</v>
      </c>
      <c r="E239" s="343">
        <v>4</v>
      </c>
      <c r="F239" s="343">
        <v>5</v>
      </c>
      <c r="G239" s="81" t="s">
        <v>70</v>
      </c>
    </row>
    <row r="240" spans="1:7" hidden="1" x14ac:dyDescent="0.25">
      <c r="A240" s="122" t="s">
        <v>208</v>
      </c>
      <c r="B240" s="324" t="s">
        <v>122</v>
      </c>
      <c r="C240" s="343"/>
      <c r="D240" s="343">
        <v>0</v>
      </c>
      <c r="E240" s="343">
        <f>'инновации+добровольчество0,3664'!E221</f>
        <v>0</v>
      </c>
      <c r="F240" s="343">
        <v>1</v>
      </c>
      <c r="G240" s="81">
        <f>D240*E240*F240</f>
        <v>0</v>
      </c>
    </row>
    <row r="241" spans="1:12" x14ac:dyDescent="0.25">
      <c r="A241" s="73" t="s">
        <v>178</v>
      </c>
      <c r="B241" s="343" t="s">
        <v>22</v>
      </c>
      <c r="C241" s="343"/>
      <c r="D241" s="343">
        <f>1*D236</f>
        <v>0.3664</v>
      </c>
      <c r="E241" s="356">
        <f>'таланты+инициативы0,2672'!E185</f>
        <v>55000</v>
      </c>
      <c r="F241" s="343">
        <v>1</v>
      </c>
      <c r="G241" s="81">
        <f>D241*E241*F241</f>
        <v>20152</v>
      </c>
    </row>
    <row r="242" spans="1:12" ht="18.75" x14ac:dyDescent="0.25">
      <c r="A242" s="826" t="s">
        <v>56</v>
      </c>
      <c r="B242" s="826"/>
      <c r="C242" s="826"/>
      <c r="D242" s="826"/>
      <c r="E242" s="826"/>
      <c r="F242" s="826"/>
      <c r="G242" s="270">
        <f>SUM(G240:G241)</f>
        <v>20152</v>
      </c>
    </row>
    <row r="243" spans="1:12" ht="18.75" x14ac:dyDescent="0.3">
      <c r="A243" s="817" t="s">
        <v>19</v>
      </c>
      <c r="B243" s="817"/>
      <c r="C243" s="817"/>
      <c r="D243" s="817"/>
      <c r="E243" s="817"/>
      <c r="F243" s="817"/>
      <c r="G243" s="181"/>
    </row>
    <row r="244" spans="1:12" x14ac:dyDescent="0.25">
      <c r="D244" s="160">
        <f>D236</f>
        <v>0.3664</v>
      </c>
      <c r="H244" s="6"/>
      <c r="I244" s="6"/>
      <c r="J244" s="6"/>
      <c r="K244" s="6"/>
      <c r="L244" s="6"/>
    </row>
    <row r="245" spans="1:12" ht="15.75" customHeight="1" x14ac:dyDescent="0.25">
      <c r="A245" s="795" t="s">
        <v>21</v>
      </c>
      <c r="B245" s="795" t="s">
        <v>11</v>
      </c>
      <c r="C245" s="343"/>
      <c r="D245" s="795" t="s">
        <v>14</v>
      </c>
      <c r="E245" s="795" t="s">
        <v>15</v>
      </c>
      <c r="F245" s="818" t="s">
        <v>6</v>
      </c>
      <c r="H245" s="6"/>
      <c r="I245" s="6"/>
      <c r="J245" s="6"/>
      <c r="K245" s="6"/>
      <c r="L245" s="6"/>
    </row>
    <row r="246" spans="1:12" x14ac:dyDescent="0.25">
      <c r="A246" s="795"/>
      <c r="B246" s="795"/>
      <c r="C246" s="343"/>
      <c r="D246" s="795"/>
      <c r="E246" s="795"/>
      <c r="F246" s="819"/>
      <c r="H246" s="6"/>
      <c r="I246" s="6"/>
      <c r="J246" s="6"/>
      <c r="K246" s="6"/>
      <c r="L246" s="6"/>
    </row>
    <row r="247" spans="1:12" ht="16.5" thickBot="1" x14ac:dyDescent="0.3">
      <c r="A247" s="343">
        <v>1</v>
      </c>
      <c r="B247" s="343">
        <v>2</v>
      </c>
      <c r="C247" s="343"/>
      <c r="D247" s="488">
        <v>3</v>
      </c>
      <c r="E247" s="343">
        <v>7</v>
      </c>
      <c r="F247" s="343" t="s">
        <v>175</v>
      </c>
      <c r="H247" s="6"/>
      <c r="I247" s="6"/>
      <c r="J247" s="6"/>
      <c r="K247" s="6"/>
      <c r="L247" s="6"/>
    </row>
    <row r="248" spans="1:12" x14ac:dyDescent="0.25">
      <c r="A248" s="76" t="str">
        <f>'таланты+инициативы0,2672'!A192</f>
        <v xml:space="preserve">Мониторинг систем пожарной сигнализации  </v>
      </c>
      <c r="B248" s="324" t="s">
        <v>22</v>
      </c>
      <c r="C248" s="343"/>
      <c r="D248" s="152">
        <f>12*D244</f>
        <v>4.3967999999999998</v>
      </c>
      <c r="E248" s="470">
        <v>2000</v>
      </c>
      <c r="F248" s="431">
        <f t="shared" ref="F248:F280" si="9">D248*E248</f>
        <v>8793.6</v>
      </c>
      <c r="H248" s="6"/>
      <c r="I248" s="6"/>
      <c r="J248" s="6"/>
      <c r="K248" s="6"/>
      <c r="L248" s="6"/>
    </row>
    <row r="249" spans="1:12" x14ac:dyDescent="0.25">
      <c r="A249" s="76" t="str">
        <f>'таланты+инициативы0,2672'!A193</f>
        <v xml:space="preserve">Уборка территории от снега </v>
      </c>
      <c r="B249" s="324" t="s">
        <v>22</v>
      </c>
      <c r="C249" s="343"/>
      <c r="D249" s="152">
        <f>2*D244</f>
        <v>0.73280000000000001</v>
      </c>
      <c r="E249" s="403">
        <v>39000</v>
      </c>
      <c r="F249" s="431">
        <f t="shared" si="9"/>
        <v>28579.200000000001</v>
      </c>
      <c r="H249" s="6"/>
      <c r="I249" s="6"/>
      <c r="J249" s="6"/>
      <c r="K249" s="6"/>
      <c r="L249" s="6"/>
    </row>
    <row r="250" spans="1:12" x14ac:dyDescent="0.25">
      <c r="A250" s="76" t="str">
        <f>'таланты+инициативы0,2672'!A194</f>
        <v>Профилактическая дезинфекция</v>
      </c>
      <c r="B250" s="324" t="s">
        <v>22</v>
      </c>
      <c r="C250" s="343"/>
      <c r="D250" s="152">
        <f>D244</f>
        <v>0.3664</v>
      </c>
      <c r="E250" s="403">
        <v>6602.4</v>
      </c>
      <c r="F250" s="431">
        <f t="shared" si="9"/>
        <v>2419.1193599999997</v>
      </c>
      <c r="H250" s="6"/>
      <c r="I250" s="6"/>
      <c r="J250" s="6"/>
      <c r="K250" s="6"/>
      <c r="L250" s="6"/>
    </row>
    <row r="251" spans="1:12" x14ac:dyDescent="0.25">
      <c r="A251" s="76" t="str">
        <f>'таланты+инициативы0,2672'!A195</f>
        <v>Обслуживание системы видеонаблюдения</v>
      </c>
      <c r="B251" s="324" t="s">
        <v>22</v>
      </c>
      <c r="C251" s="343"/>
      <c r="D251" s="152">
        <f>12*D244</f>
        <v>4.3967999999999998</v>
      </c>
      <c r="E251" s="403">
        <v>3000</v>
      </c>
      <c r="F251" s="431">
        <f t="shared" si="9"/>
        <v>13190.4</v>
      </c>
      <c r="H251" s="6"/>
      <c r="I251" s="6"/>
      <c r="J251" s="6"/>
      <c r="K251" s="6"/>
      <c r="L251" s="6"/>
    </row>
    <row r="252" spans="1:12" ht="31.5" x14ac:dyDescent="0.25">
      <c r="A252" s="76" t="str">
        <f>'таланты+инициативы0,2672'!A196</f>
        <v>Комплексное обслуживание системы тепловодоснабжения и конструктивных элементов здания</v>
      </c>
      <c r="B252" s="324" t="s">
        <v>22</v>
      </c>
      <c r="C252" s="343"/>
      <c r="D252" s="152">
        <f>D244</f>
        <v>0.3664</v>
      </c>
      <c r="E252" s="403">
        <v>70000</v>
      </c>
      <c r="F252" s="431">
        <f t="shared" si="9"/>
        <v>25648</v>
      </c>
      <c r="H252" s="6"/>
      <c r="I252" s="6"/>
      <c r="J252" s="6"/>
      <c r="K252" s="6"/>
      <c r="L252" s="6"/>
    </row>
    <row r="253" spans="1:12" x14ac:dyDescent="0.25">
      <c r="A253" s="76" t="str">
        <f>'таланты+инициативы0,2672'!A197</f>
        <v>Договор осмотр технического состояния автомобиля</v>
      </c>
      <c r="B253" s="324" t="s">
        <v>22</v>
      </c>
      <c r="C253" s="343"/>
      <c r="D253" s="152">
        <f>210*D244</f>
        <v>76.944000000000003</v>
      </c>
      <c r="E253" s="403">
        <v>217.3</v>
      </c>
      <c r="F253" s="431">
        <f t="shared" si="9"/>
        <v>16719.931200000003</v>
      </c>
      <c r="H253" s="6"/>
      <c r="I253" s="6"/>
      <c r="J253" s="6"/>
      <c r="K253" s="6"/>
      <c r="L253" s="6"/>
    </row>
    <row r="254" spans="1:12" x14ac:dyDescent="0.25">
      <c r="A254" s="76" t="str">
        <f>'таланты+инициативы0,2672'!A198</f>
        <v>Техническое обслуживание систем пожарной сигнализации</v>
      </c>
      <c r="B254" s="324" t="s">
        <v>22</v>
      </c>
      <c r="C254" s="343"/>
      <c r="D254" s="402">
        <f>12*D244</f>
        <v>4.3967999999999998</v>
      </c>
      <c r="E254" s="174">
        <v>1000</v>
      </c>
      <c r="F254" s="431">
        <f t="shared" si="9"/>
        <v>4396.8</v>
      </c>
      <c r="H254" s="6"/>
      <c r="I254" s="6"/>
      <c r="J254" s="6"/>
      <c r="K254" s="6"/>
      <c r="L254" s="6"/>
    </row>
    <row r="255" spans="1:12" x14ac:dyDescent="0.25">
      <c r="A255" s="76" t="str">
        <f>'таланты+инициативы0,2672'!A199</f>
        <v>Заправка катриджей</v>
      </c>
      <c r="B255" s="324" t="s">
        <v>22</v>
      </c>
      <c r="C255" s="343"/>
      <c r="D255" s="402">
        <f>10*D244</f>
        <v>3.6640000000000001</v>
      </c>
      <c r="E255" s="430">
        <v>61.46</v>
      </c>
      <c r="F255" s="431">
        <f t="shared" si="9"/>
        <v>225.18944000000002</v>
      </c>
      <c r="H255" s="6"/>
      <c r="I255" s="6"/>
      <c r="J255" s="6"/>
      <c r="K255" s="6"/>
      <c r="L255" s="6"/>
    </row>
    <row r="256" spans="1:12" x14ac:dyDescent="0.25">
      <c r="A256" s="76" t="str">
        <f>'таланты+инициативы0,2672'!A200</f>
        <v>Возмещение мед осмотра (112/212)</v>
      </c>
      <c r="B256" s="324" t="s">
        <v>22</v>
      </c>
      <c r="C256" s="343"/>
      <c r="D256" s="402">
        <f>2*D244</f>
        <v>0.73280000000000001</v>
      </c>
      <c r="E256" s="489">
        <f>'таланты+инициативы0,2672'!E200</f>
        <v>5000</v>
      </c>
      <c r="F256" s="356">
        <f t="shared" si="9"/>
        <v>3664</v>
      </c>
      <c r="H256" s="6"/>
      <c r="I256" s="6"/>
      <c r="J256" s="6"/>
      <c r="K256" s="6"/>
      <c r="L256" s="6"/>
    </row>
    <row r="257" spans="1:12" x14ac:dyDescent="0.25">
      <c r="A257" s="76" t="str">
        <f>'таланты+инициативы0,2672'!A201</f>
        <v>Услуги СЕМИС подписка</v>
      </c>
      <c r="B257" s="324" t="s">
        <v>22</v>
      </c>
      <c r="C257" s="343"/>
      <c r="D257" s="404">
        <f>D244</f>
        <v>0.3664</v>
      </c>
      <c r="E257" s="497">
        <f>'таланты+инициативы0,2672'!E201</f>
        <v>850</v>
      </c>
      <c r="F257" s="356">
        <f t="shared" si="9"/>
        <v>311.44</v>
      </c>
      <c r="H257" s="6"/>
      <c r="I257" s="6"/>
      <c r="J257" s="6"/>
      <c r="K257" s="6"/>
      <c r="L257" s="6"/>
    </row>
    <row r="258" spans="1:12" x14ac:dyDescent="0.25">
      <c r="A258" s="76" t="str">
        <f>'таланты+инициативы0,2672'!A202</f>
        <v>Работы по специальной оценке условий труда</v>
      </c>
      <c r="B258" s="324" t="s">
        <v>22</v>
      </c>
      <c r="C258" s="343"/>
      <c r="D258" s="70">
        <f>D244</f>
        <v>0.3664</v>
      </c>
      <c r="E258" s="497">
        <f>'таланты+инициативы0,2672'!E202</f>
        <v>16800</v>
      </c>
      <c r="F258" s="356">
        <f t="shared" si="9"/>
        <v>6155.52</v>
      </c>
      <c r="H258" s="6"/>
      <c r="I258" s="6"/>
      <c r="J258" s="6"/>
      <c r="K258" s="6"/>
      <c r="L258" s="6"/>
    </row>
    <row r="259" spans="1:12" x14ac:dyDescent="0.25">
      <c r="A259" s="76" t="str">
        <f>'таланты+инициативы0,2672'!A203</f>
        <v>Оценка профессиональных рисков охраны труда</v>
      </c>
      <c r="B259" s="324" t="s">
        <v>22</v>
      </c>
      <c r="C259" s="343"/>
      <c r="D259" s="70">
        <f>D244</f>
        <v>0.3664</v>
      </c>
      <c r="E259" s="497">
        <f>'таланты+инициативы0,2672'!E203</f>
        <v>6600</v>
      </c>
      <c r="F259" s="356">
        <f t="shared" si="9"/>
        <v>2418.2400000000002</v>
      </c>
      <c r="H259" s="6"/>
      <c r="I259" s="6"/>
      <c r="J259" s="6"/>
      <c r="K259" s="6"/>
      <c r="L259" s="6"/>
    </row>
    <row r="260" spans="1:12" x14ac:dyDescent="0.25">
      <c r="A260" s="76" t="str">
        <f>'таланты+инициативы0,2672'!A204</f>
        <v>Изготовление площадки на заднем дворе учреждения</v>
      </c>
      <c r="B260" s="324" t="s">
        <v>22</v>
      </c>
      <c r="C260" s="343"/>
      <c r="D260" s="70">
        <f>D244</f>
        <v>0.3664</v>
      </c>
      <c r="E260" s="497">
        <f>'таланты+инициативы0,2672'!E204</f>
        <v>6600</v>
      </c>
      <c r="F260" s="356">
        <f t="shared" si="9"/>
        <v>2418.2400000000002</v>
      </c>
      <c r="H260" s="6"/>
      <c r="I260" s="6"/>
      <c r="J260" s="6"/>
      <c r="K260" s="6"/>
      <c r="L260" s="6"/>
    </row>
    <row r="261" spans="1:12" x14ac:dyDescent="0.25">
      <c r="A261" s="76" t="str">
        <f>'таланты+инициативы0,2672'!A205</f>
        <v>Предрейсовое медицинское обследование 200дней*85руб</v>
      </c>
      <c r="B261" s="324" t="s">
        <v>22</v>
      </c>
      <c r="C261" s="343"/>
      <c r="D261" s="70">
        <f>420*D244</f>
        <v>153.88800000000001</v>
      </c>
      <c r="E261" s="497">
        <f>'таланты+инициативы0,2672'!E205</f>
        <v>85</v>
      </c>
      <c r="F261" s="356">
        <f t="shared" si="9"/>
        <v>13080.48</v>
      </c>
      <c r="H261" s="6"/>
      <c r="I261" s="6"/>
      <c r="J261" s="6"/>
      <c r="K261" s="6"/>
      <c r="L261" s="6"/>
    </row>
    <row r="262" spans="1:12" x14ac:dyDescent="0.25">
      <c r="A262" s="76" t="str">
        <f>'таланты+инициативы0,2672'!A206</f>
        <v xml:space="preserve">Услуги охраны  </v>
      </c>
      <c r="B262" s="324" t="s">
        <v>22</v>
      </c>
      <c r="C262" s="343"/>
      <c r="D262" s="70">
        <f>12*D244</f>
        <v>4.3967999999999998</v>
      </c>
      <c r="E262" s="497">
        <f>'таланты+инициативы0,2672'!E206</f>
        <v>8000</v>
      </c>
      <c r="F262" s="356">
        <f t="shared" si="9"/>
        <v>35174.400000000001</v>
      </c>
      <c r="H262" s="6"/>
      <c r="I262" s="6"/>
      <c r="J262" s="6"/>
      <c r="K262" s="6"/>
      <c r="L262" s="6"/>
    </row>
    <row r="263" spans="1:12" x14ac:dyDescent="0.25">
      <c r="A263" s="76" t="str">
        <f>'таланты+инициативы0,2672'!A207</f>
        <v>Обслуживание систем охранных средств сигнализации (тревожная кнопка)</v>
      </c>
      <c r="B263" s="324" t="s">
        <v>22</v>
      </c>
      <c r="C263" s="343"/>
      <c r="D263" s="70">
        <f>12*D244</f>
        <v>4.3967999999999998</v>
      </c>
      <c r="E263" s="497">
        <f>'таланты+инициативы0,2672'!E207</f>
        <v>5000</v>
      </c>
      <c r="F263" s="356">
        <f t="shared" si="9"/>
        <v>21984</v>
      </c>
      <c r="H263" s="6"/>
      <c r="I263" s="6"/>
      <c r="J263" s="6"/>
      <c r="K263" s="6"/>
      <c r="L263" s="6"/>
    </row>
    <row r="264" spans="1:12" x14ac:dyDescent="0.25">
      <c r="A264" s="76" t="str">
        <f>'таланты+инициативы0,2672'!A208</f>
        <v>Медосмотр при устройстве на работу</v>
      </c>
      <c r="B264" s="324" t="s">
        <v>22</v>
      </c>
      <c r="C264" s="343"/>
      <c r="D264" s="70">
        <f>4*D244</f>
        <v>1.4656</v>
      </c>
      <c r="E264" s="497">
        <f>'таланты+инициативы0,2672'!E208</f>
        <v>3800</v>
      </c>
      <c r="F264" s="356">
        <f t="shared" si="9"/>
        <v>5569.28</v>
      </c>
      <c r="H264" s="6"/>
      <c r="I264" s="6"/>
      <c r="J264" s="6"/>
      <c r="K264" s="6"/>
      <c r="L264" s="6"/>
    </row>
    <row r="265" spans="1:12" x14ac:dyDescent="0.25">
      <c r="A265" s="76" t="str">
        <f>'таланты+инициативы0,2672'!A209</f>
        <v>Страховая премия по полису ОСАГО за УАЗ</v>
      </c>
      <c r="B265" s="484" t="s">
        <v>22</v>
      </c>
      <c r="C265" s="343"/>
      <c r="D265" s="404">
        <f>D244</f>
        <v>0.3664</v>
      </c>
      <c r="E265" s="497">
        <f>'таланты+инициативы0,2672'!E209</f>
        <v>5500</v>
      </c>
      <c r="F265" s="356">
        <f t="shared" si="9"/>
        <v>2015.2</v>
      </c>
      <c r="H265" s="6"/>
      <c r="I265" s="6"/>
      <c r="J265" s="6"/>
      <c r="K265" s="6"/>
      <c r="L265" s="6"/>
    </row>
    <row r="266" spans="1:12" ht="31.5" x14ac:dyDescent="0.25">
      <c r="A266" s="76" t="str">
        <f>'таланты+инициативы0,2672'!A210</f>
        <v>Диагностика бытовой и оргтехники для определения возможности ее дальнейшего использования (244/226)</v>
      </c>
      <c r="B266" s="484" t="s">
        <v>22</v>
      </c>
      <c r="C266" s="343"/>
      <c r="D266" s="404">
        <f>D244</f>
        <v>0.3664</v>
      </c>
      <c r="E266" s="497">
        <f>'таланты+инициативы0,2672'!E210</f>
        <v>15765</v>
      </c>
      <c r="F266" s="356">
        <f t="shared" si="9"/>
        <v>5776.2960000000003</v>
      </c>
      <c r="H266" s="6"/>
      <c r="I266" s="6"/>
      <c r="J266" s="6"/>
      <c r="K266" s="6"/>
      <c r="L266" s="6"/>
    </row>
    <row r="267" spans="1:12" x14ac:dyDescent="0.25">
      <c r="A267" s="76" t="str">
        <f>'таланты+инициативы0,2672'!A211</f>
        <v>Изготовление снежных фигур</v>
      </c>
      <c r="B267" s="484" t="s">
        <v>22</v>
      </c>
      <c r="C267" s="343"/>
      <c r="D267" s="404">
        <f>1*D244</f>
        <v>0.3664</v>
      </c>
      <c r="E267" s="497">
        <f>'таланты+инициативы0,2672'!E211</f>
        <v>14000</v>
      </c>
      <c r="F267" s="489">
        <f t="shared" si="9"/>
        <v>5129.6000000000004</v>
      </c>
      <c r="H267" s="6"/>
      <c r="I267" s="6"/>
      <c r="J267" s="6"/>
      <c r="K267" s="6"/>
      <c r="L267" s="6"/>
    </row>
    <row r="268" spans="1:12" x14ac:dyDescent="0.25">
      <c r="A268" s="76" t="str">
        <f>'таланты+инициативы0,2672'!A212</f>
        <v>Приобретение программного обеспечения</v>
      </c>
      <c r="B268" s="484" t="s">
        <v>22</v>
      </c>
      <c r="C268" s="343"/>
      <c r="D268" s="404">
        <f>2*D244</f>
        <v>0.73280000000000001</v>
      </c>
      <c r="E268" s="497">
        <f>'таланты+инициативы0,2672'!E212</f>
        <v>8267.5</v>
      </c>
      <c r="F268" s="356">
        <f t="shared" si="9"/>
        <v>6058.424</v>
      </c>
      <c r="H268" s="6"/>
      <c r="I268" s="6"/>
      <c r="J268" s="6"/>
      <c r="K268" s="6"/>
      <c r="L268" s="6"/>
    </row>
    <row r="269" spans="1:12" x14ac:dyDescent="0.25">
      <c r="A269" s="76" t="str">
        <f>'таланты+инициативы0,2672'!A213</f>
        <v>Оплата пени, штрафов (853/291)</v>
      </c>
      <c r="B269" s="324" t="s">
        <v>22</v>
      </c>
      <c r="C269" s="343"/>
      <c r="D269" s="490">
        <f>5*D244</f>
        <v>1.8320000000000001</v>
      </c>
      <c r="E269" s="497">
        <f>'таланты+инициативы0,2672'!E213</f>
        <v>90</v>
      </c>
      <c r="F269" s="356">
        <f t="shared" si="9"/>
        <v>164.88</v>
      </c>
      <c r="H269" s="6"/>
      <c r="I269" s="6"/>
      <c r="J269" s="6"/>
      <c r="K269" s="6"/>
      <c r="L269" s="6"/>
    </row>
    <row r="270" spans="1:12" hidden="1" x14ac:dyDescent="0.25">
      <c r="A270" s="76">
        <f>'инновации+добровольчество0,3664'!A252</f>
        <v>0</v>
      </c>
      <c r="B270" s="324" t="s">
        <v>22</v>
      </c>
      <c r="C270" s="343"/>
      <c r="D270" s="343">
        <f t="shared" ref="D270:D280" si="10">$D$253</f>
        <v>76.944000000000003</v>
      </c>
      <c r="E270" s="497">
        <f>'таланты+инициативы0,2672'!E214</f>
        <v>0</v>
      </c>
      <c r="F270" s="356">
        <f t="shared" si="9"/>
        <v>0</v>
      </c>
      <c r="H270" s="6"/>
      <c r="I270" s="6"/>
      <c r="J270" s="6"/>
      <c r="K270" s="6"/>
      <c r="L270" s="6"/>
    </row>
    <row r="271" spans="1:12" hidden="1" x14ac:dyDescent="0.25">
      <c r="A271" s="76">
        <f>'инновации+добровольчество0,3664'!A253</f>
        <v>0</v>
      </c>
      <c r="B271" s="324" t="s">
        <v>22</v>
      </c>
      <c r="C271" s="343"/>
      <c r="D271" s="343">
        <f t="shared" si="10"/>
        <v>76.944000000000003</v>
      </c>
      <c r="E271" s="497">
        <f>'таланты+инициативы0,2672'!E215</f>
        <v>0</v>
      </c>
      <c r="F271" s="356">
        <f t="shared" si="9"/>
        <v>0</v>
      </c>
      <c r="H271" s="6"/>
      <c r="I271" s="6"/>
      <c r="J271" s="6"/>
      <c r="K271" s="6"/>
      <c r="L271" s="6"/>
    </row>
    <row r="272" spans="1:12" hidden="1" x14ac:dyDescent="0.25">
      <c r="A272" s="76">
        <f>'инновации+добровольчество0,3664'!A254</f>
        <v>0</v>
      </c>
      <c r="B272" s="324" t="s">
        <v>22</v>
      </c>
      <c r="C272" s="343"/>
      <c r="D272" s="343">
        <f t="shared" si="10"/>
        <v>76.944000000000003</v>
      </c>
      <c r="E272" s="497">
        <f>'таланты+инициативы0,2672'!E216</f>
        <v>0</v>
      </c>
      <c r="F272" s="356">
        <f t="shared" si="9"/>
        <v>0</v>
      </c>
      <c r="H272" s="6"/>
      <c r="I272" s="6"/>
      <c r="J272" s="6"/>
      <c r="K272" s="6"/>
      <c r="L272" s="6"/>
    </row>
    <row r="273" spans="1:12" hidden="1" x14ac:dyDescent="0.25">
      <c r="A273" s="76">
        <f>'инновации+добровольчество0,3664'!A255</f>
        <v>0</v>
      </c>
      <c r="B273" s="324" t="s">
        <v>22</v>
      </c>
      <c r="C273" s="343"/>
      <c r="D273" s="343">
        <f t="shared" si="10"/>
        <v>76.944000000000003</v>
      </c>
      <c r="E273" s="497">
        <v>0</v>
      </c>
      <c r="F273" s="356">
        <v>0</v>
      </c>
      <c r="H273" s="6"/>
      <c r="I273" s="6"/>
      <c r="J273" s="6"/>
      <c r="K273" s="6"/>
      <c r="L273" s="6"/>
    </row>
    <row r="274" spans="1:12" hidden="1" x14ac:dyDescent="0.25">
      <c r="A274" s="76">
        <f>'инновации+добровольчество0,3664'!A256</f>
        <v>0</v>
      </c>
      <c r="B274" s="324" t="s">
        <v>22</v>
      </c>
      <c r="C274" s="343"/>
      <c r="D274" s="343">
        <f t="shared" si="10"/>
        <v>76.944000000000003</v>
      </c>
      <c r="E274" s="497">
        <f>'таланты+инициативы0,2672'!E218</f>
        <v>0</v>
      </c>
      <c r="F274" s="356">
        <f t="shared" si="9"/>
        <v>0</v>
      </c>
      <c r="H274" s="6"/>
      <c r="I274" s="6"/>
      <c r="J274" s="6"/>
      <c r="K274" s="6"/>
      <c r="L274" s="6"/>
    </row>
    <row r="275" spans="1:12" hidden="1" x14ac:dyDescent="0.25">
      <c r="A275" s="76">
        <f>'инновации+добровольчество0,3664'!A257</f>
        <v>0</v>
      </c>
      <c r="B275" s="324" t="s">
        <v>22</v>
      </c>
      <c r="C275" s="343"/>
      <c r="D275" s="343">
        <f t="shared" si="10"/>
        <v>76.944000000000003</v>
      </c>
      <c r="E275" s="497">
        <v>0</v>
      </c>
      <c r="F275" s="356">
        <f t="shared" si="9"/>
        <v>0</v>
      </c>
      <c r="H275" s="6"/>
      <c r="I275" s="6"/>
      <c r="J275" s="6"/>
      <c r="K275" s="6"/>
      <c r="L275" s="6"/>
    </row>
    <row r="276" spans="1:12" hidden="1" x14ac:dyDescent="0.25">
      <c r="A276" s="76">
        <f>'инновации+добровольчество0,3664'!A258</f>
        <v>0</v>
      </c>
      <c r="B276" s="324" t="s">
        <v>22</v>
      </c>
      <c r="C276" s="343"/>
      <c r="D276" s="343">
        <f t="shared" si="10"/>
        <v>76.944000000000003</v>
      </c>
      <c r="E276" s="497">
        <v>0</v>
      </c>
      <c r="F276" s="356">
        <f t="shared" si="9"/>
        <v>0</v>
      </c>
      <c r="H276" s="6"/>
      <c r="I276" s="6"/>
      <c r="J276" s="6"/>
      <c r="K276" s="6"/>
      <c r="L276" s="6"/>
    </row>
    <row r="277" spans="1:12" hidden="1" x14ac:dyDescent="0.25">
      <c r="A277" s="76">
        <f>'инновации+добровольчество0,3664'!A259</f>
        <v>0</v>
      </c>
      <c r="B277" s="324" t="s">
        <v>22</v>
      </c>
      <c r="C277" s="339"/>
      <c r="D277" s="343">
        <f t="shared" si="10"/>
        <v>76.944000000000003</v>
      </c>
      <c r="E277" s="497">
        <v>0</v>
      </c>
      <c r="F277" s="356">
        <f t="shared" si="9"/>
        <v>0</v>
      </c>
      <c r="H277" s="6"/>
      <c r="I277" s="6"/>
      <c r="J277" s="6"/>
      <c r="K277" s="6"/>
      <c r="L277" s="6"/>
    </row>
    <row r="278" spans="1:12" hidden="1" x14ac:dyDescent="0.25">
      <c r="A278" s="76">
        <f>'инновации+добровольчество0,3664'!A260</f>
        <v>0</v>
      </c>
      <c r="B278" s="324" t="s">
        <v>22</v>
      </c>
      <c r="C278" s="315"/>
      <c r="D278" s="343">
        <f t="shared" si="10"/>
        <v>76.944000000000003</v>
      </c>
      <c r="E278" s="497">
        <v>0</v>
      </c>
      <c r="F278" s="356">
        <f t="shared" si="9"/>
        <v>0</v>
      </c>
      <c r="H278" s="6"/>
      <c r="I278" s="6"/>
      <c r="J278" s="6"/>
      <c r="K278" s="6"/>
      <c r="L278" s="6"/>
    </row>
    <row r="279" spans="1:12" hidden="1" x14ac:dyDescent="0.25">
      <c r="A279" s="76">
        <f>'инновации+добровольчество0,3664'!A261</f>
        <v>0</v>
      </c>
      <c r="B279" s="324" t="s">
        <v>22</v>
      </c>
      <c r="C279" s="315"/>
      <c r="D279" s="343">
        <f t="shared" si="10"/>
        <v>76.944000000000003</v>
      </c>
      <c r="E279" s="497">
        <v>0</v>
      </c>
      <c r="F279" s="356">
        <f t="shared" si="9"/>
        <v>0</v>
      </c>
      <c r="H279" s="6"/>
      <c r="I279" s="6"/>
      <c r="J279" s="6"/>
      <c r="K279" s="6"/>
      <c r="L279" s="6"/>
    </row>
    <row r="280" spans="1:12" ht="18.75" hidden="1" customHeight="1" x14ac:dyDescent="0.25">
      <c r="A280" s="76">
        <f>'инновации+добровольчество0,3664'!A262</f>
        <v>0</v>
      </c>
      <c r="B280" s="324" t="s">
        <v>22</v>
      </c>
      <c r="C280" s="315"/>
      <c r="D280" s="343">
        <f t="shared" si="10"/>
        <v>76.944000000000003</v>
      </c>
      <c r="E280" s="497">
        <v>0</v>
      </c>
      <c r="F280" s="356">
        <f t="shared" si="9"/>
        <v>0</v>
      </c>
      <c r="H280" s="6"/>
      <c r="I280" s="6"/>
      <c r="J280" s="6"/>
      <c r="K280" s="6"/>
      <c r="L280" s="6"/>
    </row>
    <row r="281" spans="1:12" ht="18.75" x14ac:dyDescent="0.25">
      <c r="A281" s="800" t="s">
        <v>23</v>
      </c>
      <c r="B281" s="801"/>
      <c r="C281" s="801"/>
      <c r="D281" s="801"/>
      <c r="E281" s="802"/>
      <c r="F281" s="283">
        <f>SUM(F248:F280)</f>
        <v>209892.24000000005</v>
      </c>
      <c r="H281" s="6"/>
      <c r="I281" s="6"/>
      <c r="J281" s="6"/>
      <c r="K281" s="6"/>
      <c r="L281" s="6"/>
    </row>
    <row r="282" spans="1:12" x14ac:dyDescent="0.25">
      <c r="A282" s="832" t="s">
        <v>29</v>
      </c>
      <c r="B282" s="833"/>
      <c r="C282" s="833"/>
      <c r="D282" s="833"/>
      <c r="E282" s="833"/>
      <c r="F282" s="834"/>
    </row>
    <row r="283" spans="1:12" x14ac:dyDescent="0.25">
      <c r="A283" s="835">
        <f>D244</f>
        <v>0.3664</v>
      </c>
      <c r="B283" s="836"/>
      <c r="C283" s="836"/>
      <c r="D283" s="836"/>
      <c r="E283" s="836"/>
      <c r="F283" s="837"/>
    </row>
    <row r="284" spans="1:12" ht="15.75" customHeight="1" x14ac:dyDescent="0.25">
      <c r="A284" s="646" t="s">
        <v>30</v>
      </c>
      <c r="B284" s="646" t="s">
        <v>11</v>
      </c>
      <c r="C284" s="324"/>
      <c r="D284" s="646" t="s">
        <v>14</v>
      </c>
      <c r="E284" s="646" t="s">
        <v>15</v>
      </c>
      <c r="F284" s="697" t="s">
        <v>6</v>
      </c>
    </row>
    <row r="285" spans="1:12" x14ac:dyDescent="0.25">
      <c r="A285" s="646"/>
      <c r="B285" s="646"/>
      <c r="C285" s="324"/>
      <c r="D285" s="646"/>
      <c r="E285" s="646"/>
      <c r="F285" s="698"/>
    </row>
    <row r="286" spans="1:12" x14ac:dyDescent="0.25">
      <c r="A286" s="324">
        <v>1</v>
      </c>
      <c r="B286" s="324">
        <v>2</v>
      </c>
      <c r="C286" s="324"/>
      <c r="D286" s="324">
        <v>3</v>
      </c>
      <c r="E286" s="324">
        <v>7</v>
      </c>
      <c r="F286" s="324" t="s">
        <v>175</v>
      </c>
    </row>
    <row r="287" spans="1:12" x14ac:dyDescent="0.25">
      <c r="A287" s="210" t="str">
        <f>'таланты+инициативы0,2672'!A220</f>
        <v>Обучение персонала</v>
      </c>
      <c r="B287" s="363" t="s">
        <v>192</v>
      </c>
      <c r="C287" s="362"/>
      <c r="D287" s="486">
        <f>2*A283</f>
        <v>0.73280000000000001</v>
      </c>
      <c r="E287" s="362">
        <f>'таланты+инициативы0,2672'!E220</f>
        <v>5000</v>
      </c>
      <c r="F287" s="245">
        <f t="shared" ref="F287:F288" si="11">D287*E287</f>
        <v>3664</v>
      </c>
    </row>
    <row r="288" spans="1:12" x14ac:dyDescent="0.25">
      <c r="A288" s="210" t="str">
        <f>'таланты+инициативы0,2672'!A221</f>
        <v>Переподготовка</v>
      </c>
      <c r="B288" s="363" t="s">
        <v>192</v>
      </c>
      <c r="C288" s="362"/>
      <c r="D288" s="486">
        <f>3*A283</f>
        <v>1.0992</v>
      </c>
      <c r="E288" s="484">
        <f>'таланты+инициативы0,2672'!E221</f>
        <v>20000</v>
      </c>
      <c r="F288" s="245">
        <f t="shared" si="11"/>
        <v>21984</v>
      </c>
    </row>
    <row r="289" spans="1:6" ht="16.5" x14ac:dyDescent="0.25">
      <c r="A289" s="210" t="str">
        <f>'таланты+инициативы0,2672'!A222</f>
        <v>Пиломатериал</v>
      </c>
      <c r="B289" s="318" t="str">
        <f>'инновации+добровольчество0,3664'!B271</f>
        <v>шт</v>
      </c>
      <c r="C289" s="324"/>
      <c r="D289" s="434">
        <f>7*A283</f>
        <v>2.5648</v>
      </c>
      <c r="E289" s="484">
        <f>'таланты+инициативы0,2672'!E222</f>
        <v>17285.71</v>
      </c>
      <c r="F289" s="245">
        <f>D289*E289</f>
        <v>44334.389007999998</v>
      </c>
    </row>
    <row r="290" spans="1:6" ht="16.5" x14ac:dyDescent="0.25">
      <c r="A290" s="210" t="str">
        <f>'таланты+инициативы0,2672'!A223</f>
        <v>Тонеры для картриджей Kyocera</v>
      </c>
      <c r="B290" s="318" t="str">
        <f>'инновации+добровольчество0,3664'!B272</f>
        <v>шт</v>
      </c>
      <c r="C290" s="324"/>
      <c r="D290" s="434">
        <f>5*A283</f>
        <v>1.8320000000000001</v>
      </c>
      <c r="E290" s="484">
        <f>'таланты+инициативы0,2672'!E223</f>
        <v>1500</v>
      </c>
      <c r="F290" s="245">
        <f>D290*E290</f>
        <v>2748</v>
      </c>
    </row>
    <row r="291" spans="1:6" ht="24.75" customHeight="1" x14ac:dyDescent="0.25">
      <c r="A291" s="210" t="str">
        <f>'таланты+инициативы0,2672'!A224</f>
        <v>Комплект тонеров для цветного принтера Canon</v>
      </c>
      <c r="B291" s="318" t="str">
        <f>'инновации+добровольчество0,3664'!B273</f>
        <v>шт</v>
      </c>
      <c r="C291" s="324"/>
      <c r="D291" s="434">
        <f>5*A283</f>
        <v>1.8320000000000001</v>
      </c>
      <c r="E291" s="484">
        <f>'таланты+инициативы0,2672'!E224</f>
        <v>4500</v>
      </c>
      <c r="F291" s="245">
        <f t="shared" ref="F291:F312" si="12">D291*E291</f>
        <v>8244</v>
      </c>
    </row>
    <row r="292" spans="1:6" ht="24.75" customHeight="1" x14ac:dyDescent="0.25">
      <c r="A292" s="210" t="str">
        <f>'таланты+инициативы0,2672'!A225</f>
        <v>Комплект тонера для цветного принтера Hp</v>
      </c>
      <c r="B292" s="318" t="str">
        <f>'инновации+добровольчество0,3664'!B274</f>
        <v>шт</v>
      </c>
      <c r="C292" s="324"/>
      <c r="D292" s="434">
        <f>2*A283</f>
        <v>0.73280000000000001</v>
      </c>
      <c r="E292" s="484">
        <f>'таланты+инициативы0,2672'!E225</f>
        <v>13000</v>
      </c>
      <c r="F292" s="245">
        <f t="shared" ref="F292" si="13">D292*E292</f>
        <v>9526.4</v>
      </c>
    </row>
    <row r="293" spans="1:6" ht="16.5" x14ac:dyDescent="0.25">
      <c r="A293" s="210" t="str">
        <f>'таланты+инициативы0,2672'!A226</f>
        <v>Флеш накопители  16 гб</v>
      </c>
      <c r="B293" s="318" t="str">
        <f>'инновации+добровольчество0,3664'!B275</f>
        <v>шт</v>
      </c>
      <c r="C293" s="324"/>
      <c r="D293" s="434">
        <f>7*A283</f>
        <v>2.5648</v>
      </c>
      <c r="E293" s="484">
        <f>'таланты+инициативы0,2672'!E226</f>
        <v>1000</v>
      </c>
      <c r="F293" s="245">
        <f t="shared" si="12"/>
        <v>2564.8000000000002</v>
      </c>
    </row>
    <row r="294" spans="1:6" ht="16.5" x14ac:dyDescent="0.25">
      <c r="A294" s="210" t="str">
        <f>'таланты+инициативы0,2672'!A227</f>
        <v>Флеш накопители  64 гб</v>
      </c>
      <c r="B294" s="318" t="str">
        <f>'инновации+добровольчество0,3664'!B276</f>
        <v>шт</v>
      </c>
      <c r="C294" s="324"/>
      <c r="D294" s="434">
        <f>5*A283</f>
        <v>1.8320000000000001</v>
      </c>
      <c r="E294" s="484">
        <f>'таланты+инициативы0,2672'!E227</f>
        <v>2100</v>
      </c>
      <c r="F294" s="245">
        <f t="shared" si="12"/>
        <v>3847.2000000000003</v>
      </c>
    </row>
    <row r="295" spans="1:6" ht="16.5" x14ac:dyDescent="0.25">
      <c r="A295" s="210" t="str">
        <f>'таланты+инициативы0,2672'!A228</f>
        <v>Мышь USB</v>
      </c>
      <c r="B295" s="318" t="str">
        <f>'инновации+добровольчество0,3664'!B277</f>
        <v>шт</v>
      </c>
      <c r="C295" s="324"/>
      <c r="D295" s="434">
        <f>4*A283</f>
        <v>1.4656</v>
      </c>
      <c r="E295" s="484">
        <f>'таланты+инициативы0,2672'!E228</f>
        <v>500</v>
      </c>
      <c r="F295" s="245">
        <f t="shared" si="12"/>
        <v>732.8</v>
      </c>
    </row>
    <row r="296" spans="1:6" ht="16.5" x14ac:dyDescent="0.25">
      <c r="A296" s="210" t="str">
        <f>'таланты+инициативы0,2672'!A229</f>
        <v xml:space="preserve">Мешки для мусора </v>
      </c>
      <c r="B296" s="318" t="str">
        <f>'инновации+добровольчество0,3664'!B278</f>
        <v>шт</v>
      </c>
      <c r="C296" s="324"/>
      <c r="D296" s="434">
        <f>100*A283</f>
        <v>36.64</v>
      </c>
      <c r="E296" s="484">
        <f>'таланты+инициативы0,2672'!E229</f>
        <v>100</v>
      </c>
      <c r="F296" s="245">
        <f t="shared" si="12"/>
        <v>3664</v>
      </c>
    </row>
    <row r="297" spans="1:6" ht="16.5" x14ac:dyDescent="0.25">
      <c r="A297" s="210" t="str">
        <f>'таланты+инициативы0,2672'!A230</f>
        <v>Жидкое мыло</v>
      </c>
      <c r="B297" s="318" t="str">
        <f>'инновации+добровольчество0,3664'!B279</f>
        <v>шт</v>
      </c>
      <c r="C297" s="324"/>
      <c r="D297" s="434">
        <f>15*A283</f>
        <v>5.4960000000000004</v>
      </c>
      <c r="E297" s="484">
        <f>'таланты+инициативы0,2672'!E230</f>
        <v>250</v>
      </c>
      <c r="F297" s="245">
        <f t="shared" si="12"/>
        <v>1374</v>
      </c>
    </row>
    <row r="298" spans="1:6" ht="16.5" x14ac:dyDescent="0.25">
      <c r="A298" s="210" t="str">
        <f>'таланты+инициативы0,2672'!A231</f>
        <v>Туалетная бумага</v>
      </c>
      <c r="B298" s="318" t="str">
        <f>'инновации+добровольчество0,3664'!B280</f>
        <v>шт</v>
      </c>
      <c r="C298" s="324"/>
      <c r="D298" s="434">
        <f>100*A283</f>
        <v>36.64</v>
      </c>
      <c r="E298" s="484">
        <f>'таланты+инициативы0,2672'!E231</f>
        <v>25</v>
      </c>
      <c r="F298" s="245">
        <f t="shared" si="12"/>
        <v>916</v>
      </c>
    </row>
    <row r="299" spans="1:6" ht="16.5" x14ac:dyDescent="0.25">
      <c r="A299" s="210" t="str">
        <f>'таланты+инициативы0,2672'!A232</f>
        <v>Тряпки для мытья</v>
      </c>
      <c r="B299" s="318" t="str">
        <f>'инновации+добровольчество0,3664'!B281</f>
        <v>шт</v>
      </c>
      <c r="C299" s="324"/>
      <c r="D299" s="434">
        <f>40*A283</f>
        <v>14.656000000000001</v>
      </c>
      <c r="E299" s="484">
        <f>'таланты+инициативы0,2672'!E232</f>
        <v>40</v>
      </c>
      <c r="F299" s="245">
        <f t="shared" si="12"/>
        <v>586.24</v>
      </c>
    </row>
    <row r="300" spans="1:6" ht="16.5" x14ac:dyDescent="0.25">
      <c r="A300" s="210" t="str">
        <f>'таланты+инициативы0,2672'!A233</f>
        <v>Бытовая химия</v>
      </c>
      <c r="B300" s="318" t="str">
        <f>'инновации+добровольчество0,3664'!B282</f>
        <v>шт</v>
      </c>
      <c r="C300" s="324"/>
      <c r="D300" s="434">
        <f>20*A283</f>
        <v>7.3280000000000003</v>
      </c>
      <c r="E300" s="484">
        <f>'таланты+инициативы0,2672'!E233</f>
        <v>1000</v>
      </c>
      <c r="F300" s="245">
        <f t="shared" si="12"/>
        <v>7328</v>
      </c>
    </row>
    <row r="301" spans="1:6" ht="16.5" x14ac:dyDescent="0.25">
      <c r="A301" s="210" t="str">
        <f>'таланты+инициативы0,2672'!A234</f>
        <v>Фанера</v>
      </c>
      <c r="B301" s="318" t="str">
        <f>'инновации+добровольчество0,3664'!B283</f>
        <v>шт</v>
      </c>
      <c r="C301" s="324"/>
      <c r="D301" s="434">
        <f>30*A283</f>
        <v>10.992000000000001</v>
      </c>
      <c r="E301" s="484">
        <f>'таланты+инициативы0,2672'!E234</f>
        <v>1300</v>
      </c>
      <c r="F301" s="245">
        <f t="shared" ref="F301:F302" si="14">D301*E301</f>
        <v>14289.6</v>
      </c>
    </row>
    <row r="302" spans="1:6" ht="16.5" x14ac:dyDescent="0.25">
      <c r="A302" s="210" t="str">
        <f>'таланты+инициативы0,2672'!A235</f>
        <v>Антифриз</v>
      </c>
      <c r="B302" s="318" t="str">
        <f>'инновации+добровольчество0,3664'!B284</f>
        <v>шт</v>
      </c>
      <c r="C302" s="324"/>
      <c r="D302" s="434">
        <f>A283*20</f>
        <v>7.3280000000000003</v>
      </c>
      <c r="E302" s="484">
        <f>'таланты+инициативы0,2672'!E235</f>
        <v>300</v>
      </c>
      <c r="F302" s="245">
        <f t="shared" si="14"/>
        <v>2198.4</v>
      </c>
    </row>
    <row r="303" spans="1:6" ht="16.5" x14ac:dyDescent="0.25">
      <c r="A303" s="210" t="str">
        <f>'таланты+инициативы0,2672'!A236</f>
        <v>Баннера</v>
      </c>
      <c r="B303" s="318" t="str">
        <f>'инновации+добровольчество0,3664'!B285</f>
        <v>шт</v>
      </c>
      <c r="C303" s="324"/>
      <c r="D303" s="434">
        <f>5*A283</f>
        <v>1.8320000000000001</v>
      </c>
      <c r="E303" s="484">
        <f>'таланты+инициативы0,2672'!E236</f>
        <v>3500</v>
      </c>
      <c r="F303" s="245">
        <f t="shared" si="12"/>
        <v>6412</v>
      </c>
    </row>
    <row r="304" spans="1:6" ht="16.5" x14ac:dyDescent="0.25">
      <c r="A304" s="210" t="str">
        <f>'таланты+инициативы0,2672'!A237</f>
        <v>Гвозди</v>
      </c>
      <c r="B304" s="318" t="str">
        <f>'инновации+добровольчество0,3664'!B286</f>
        <v>шт</v>
      </c>
      <c r="C304" s="324"/>
      <c r="D304" s="434">
        <f>20*A283</f>
        <v>7.3280000000000003</v>
      </c>
      <c r="E304" s="484">
        <f>'таланты+инициативы0,2672'!E237</f>
        <v>811</v>
      </c>
      <c r="F304" s="245">
        <f>D304*E304+0.01</f>
        <v>5943.018</v>
      </c>
    </row>
    <row r="305" spans="1:6" ht="16.5" x14ac:dyDescent="0.25">
      <c r="A305" s="210" t="str">
        <f>'таланты+инициативы0,2672'!A238</f>
        <v>Саморезы</v>
      </c>
      <c r="B305" s="318" t="str">
        <f>'инновации+добровольчество0,3664'!B287</f>
        <v>шт</v>
      </c>
      <c r="C305" s="324"/>
      <c r="D305" s="434">
        <f>50*A283</f>
        <v>18.32</v>
      </c>
      <c r="E305" s="484">
        <f>'таланты+инициативы0,2672'!E238</f>
        <v>100</v>
      </c>
      <c r="F305" s="245">
        <f t="shared" si="12"/>
        <v>1832</v>
      </c>
    </row>
    <row r="306" spans="1:6" ht="16.5" x14ac:dyDescent="0.25">
      <c r="A306" s="210" t="str">
        <f>'таланты+инициативы0,2672'!A239</f>
        <v>Инструмент металлический ручной</v>
      </c>
      <c r="B306" s="318" t="str">
        <f>'инновации+добровольчество0,3664'!B288</f>
        <v>шт</v>
      </c>
      <c r="C306" s="324"/>
      <c r="D306" s="434">
        <f>5*A283</f>
        <v>1.8320000000000001</v>
      </c>
      <c r="E306" s="484">
        <f>'таланты+инициативы0,2672'!E239</f>
        <v>301</v>
      </c>
      <c r="F306" s="245">
        <f t="shared" si="12"/>
        <v>551.43200000000002</v>
      </c>
    </row>
    <row r="307" spans="1:6" s="304" customFormat="1" ht="16.5" x14ac:dyDescent="0.25">
      <c r="A307" s="210" t="str">
        <f>'таланты+инициативы0,2672'!A240</f>
        <v>Краска эмаль</v>
      </c>
      <c r="B307" s="318" t="str">
        <f>'инновации+добровольчество0,3664'!B289</f>
        <v>шт</v>
      </c>
      <c r="C307" s="324"/>
      <c r="D307" s="434">
        <f>30*A283</f>
        <v>10.992000000000001</v>
      </c>
      <c r="E307" s="484">
        <f>'таланты+инициативы0,2672'!E240</f>
        <v>250</v>
      </c>
      <c r="F307" s="245">
        <f t="shared" si="12"/>
        <v>2748</v>
      </c>
    </row>
    <row r="308" spans="1:6" ht="16.5" x14ac:dyDescent="0.25">
      <c r="A308" s="210" t="str">
        <f>'таланты+инициативы0,2672'!A241</f>
        <v>Краска ВДН</v>
      </c>
      <c r="B308" s="318" t="str">
        <f>'инновации+добровольчество0,3664'!B290</f>
        <v>шт</v>
      </c>
      <c r="C308" s="324"/>
      <c r="D308" s="434">
        <f>10*A283</f>
        <v>3.6640000000000001</v>
      </c>
      <c r="E308" s="484">
        <f>'таланты+инициативы0,2672'!E241</f>
        <v>401</v>
      </c>
      <c r="F308" s="245">
        <f t="shared" si="12"/>
        <v>1469.2640000000001</v>
      </c>
    </row>
    <row r="309" spans="1:6" ht="16.5" x14ac:dyDescent="0.25">
      <c r="A309" s="210" t="str">
        <f>'таланты+инициативы0,2672'!A242</f>
        <v>Кисти</v>
      </c>
      <c r="B309" s="318" t="str">
        <f>'инновации+добровольчество0,3664'!B291</f>
        <v>шт</v>
      </c>
      <c r="C309" s="324"/>
      <c r="D309" s="434">
        <f>40*A283</f>
        <v>14.656000000000001</v>
      </c>
      <c r="E309" s="484">
        <f>'таланты+инициативы0,2672'!E242</f>
        <v>50</v>
      </c>
      <c r="F309" s="245">
        <f t="shared" si="12"/>
        <v>732.80000000000007</v>
      </c>
    </row>
    <row r="310" spans="1:6" ht="16.5" x14ac:dyDescent="0.25">
      <c r="A310" s="210" t="str">
        <f>'таланты+инициативы0,2672'!A243</f>
        <v>Перчатка пвх</v>
      </c>
      <c r="B310" s="163" t="s">
        <v>84</v>
      </c>
      <c r="C310" s="324"/>
      <c r="D310" s="434">
        <f>100*A283</f>
        <v>36.64</v>
      </c>
      <c r="E310" s="484">
        <f>'таланты+инициативы0,2672'!E243</f>
        <v>30</v>
      </c>
      <c r="F310" s="245">
        <f t="shared" si="12"/>
        <v>1099.2</v>
      </c>
    </row>
    <row r="311" spans="1:6" ht="16.5" x14ac:dyDescent="0.25">
      <c r="A311" s="210" t="str">
        <f>'таланты+инициативы0,2672'!A244</f>
        <v>краска кудо</v>
      </c>
      <c r="B311" s="163" t="s">
        <v>84</v>
      </c>
      <c r="C311" s="324"/>
      <c r="D311" s="434">
        <f>30*A283</f>
        <v>10.992000000000001</v>
      </c>
      <c r="E311" s="484">
        <f>'таланты+инициативы0,2672'!E244</f>
        <v>300</v>
      </c>
      <c r="F311" s="245">
        <f t="shared" si="12"/>
        <v>3297.6000000000004</v>
      </c>
    </row>
    <row r="312" spans="1:6" ht="16.5" x14ac:dyDescent="0.25">
      <c r="A312" s="210" t="str">
        <f>'таланты+инициативы0,2672'!A245</f>
        <v>Валик+ванночка</v>
      </c>
      <c r="B312" s="163" t="s">
        <v>84</v>
      </c>
      <c r="C312" s="324"/>
      <c r="D312" s="434">
        <f>10*A283</f>
        <v>3.6640000000000001</v>
      </c>
      <c r="E312" s="484">
        <f>'таланты+инициативы0,2672'!E245</f>
        <v>210</v>
      </c>
      <c r="F312" s="245">
        <f t="shared" si="12"/>
        <v>769.44</v>
      </c>
    </row>
    <row r="313" spans="1:6" ht="16.5" x14ac:dyDescent="0.25">
      <c r="A313" s="210" t="str">
        <f>'таланты+инициативы0,2672'!A246</f>
        <v>Ножницыы</v>
      </c>
      <c r="B313" s="163" t="s">
        <v>84</v>
      </c>
      <c r="C313" s="324"/>
      <c r="D313" s="434">
        <f>10*A283</f>
        <v>3.6640000000000001</v>
      </c>
      <c r="E313" s="484">
        <f>'таланты+инициативы0,2672'!E246</f>
        <v>150</v>
      </c>
      <c r="F313" s="245">
        <f t="shared" ref="F313:F346" si="15">D313*E313</f>
        <v>549.6</v>
      </c>
    </row>
    <row r="314" spans="1:6" ht="16.5" x14ac:dyDescent="0.25">
      <c r="A314" s="210" t="str">
        <f>'таланты+инициативы0,2672'!A247</f>
        <v>Канцелярские расходники</v>
      </c>
      <c r="B314" s="163" t="s">
        <v>84</v>
      </c>
      <c r="C314" s="324"/>
      <c r="D314" s="434">
        <f>100*A283</f>
        <v>36.64</v>
      </c>
      <c r="E314" s="484">
        <f>'таланты+инициативы0,2672'!E247</f>
        <v>50</v>
      </c>
      <c r="F314" s="245">
        <f t="shared" si="15"/>
        <v>1832</v>
      </c>
    </row>
    <row r="315" spans="1:6" ht="16.5" x14ac:dyDescent="0.25">
      <c r="A315" s="210" t="str">
        <f>'таланты+инициативы0,2672'!A248</f>
        <v>Канцелярия (ручки, карандаши)</v>
      </c>
      <c r="B315" s="163" t="s">
        <v>84</v>
      </c>
      <c r="C315" s="324"/>
      <c r="D315" s="434">
        <f>100*A283</f>
        <v>36.64</v>
      </c>
      <c r="E315" s="484">
        <f>'таланты+инициативы0,2672'!E248</f>
        <v>30</v>
      </c>
      <c r="F315" s="245">
        <f t="shared" si="15"/>
        <v>1099.2</v>
      </c>
    </row>
    <row r="316" spans="1:6" ht="16.5" x14ac:dyDescent="0.25">
      <c r="A316" s="210" t="str">
        <f>'таланты+инициативы0,2672'!A249</f>
        <v>Офисные принадлежности (папки, скоросшиватели, файлы)</v>
      </c>
      <c r="B316" s="163" t="s">
        <v>84</v>
      </c>
      <c r="C316" s="324"/>
      <c r="D316" s="434">
        <f>100*A283</f>
        <v>36.64</v>
      </c>
      <c r="E316" s="484">
        <f>'таланты+инициативы0,2672'!E249</f>
        <v>100</v>
      </c>
      <c r="F316" s="245">
        <f t="shared" si="15"/>
        <v>3664</v>
      </c>
    </row>
    <row r="317" spans="1:6" ht="16.5" x14ac:dyDescent="0.25">
      <c r="A317" s="210" t="str">
        <f>'таланты+инициативы0,2672'!A250</f>
        <v>Лампы</v>
      </c>
      <c r="B317" s="163" t="s">
        <v>84</v>
      </c>
      <c r="C317" s="324"/>
      <c r="D317" s="434">
        <f>50*A283</f>
        <v>18.32</v>
      </c>
      <c r="E317" s="484">
        <f>'таланты+инициативы0,2672'!E250</f>
        <v>40</v>
      </c>
      <c r="F317" s="245">
        <f t="shared" si="15"/>
        <v>732.8</v>
      </c>
    </row>
    <row r="318" spans="1:6" ht="16.5" x14ac:dyDescent="0.25">
      <c r="A318" s="210" t="str">
        <f>'таланты+инициативы0,2672'!A251</f>
        <v>Батерейки</v>
      </c>
      <c r="B318" s="163" t="s">
        <v>84</v>
      </c>
      <c r="C318" s="324"/>
      <c r="D318" s="434">
        <f>200*A283</f>
        <v>73.28</v>
      </c>
      <c r="E318" s="484">
        <f>'таланты+инициативы0,2672'!E251</f>
        <v>80</v>
      </c>
      <c r="F318" s="245">
        <f t="shared" si="15"/>
        <v>5862.4</v>
      </c>
    </row>
    <row r="319" spans="1:6" ht="16.5" x14ac:dyDescent="0.25">
      <c r="A319" s="210" t="str">
        <f>'таланты+инициативы0,2672'!A252</f>
        <v>Бумага А4</v>
      </c>
      <c r="B319" s="163" t="s">
        <v>84</v>
      </c>
      <c r="C319" s="324"/>
      <c r="D319" s="434">
        <f>100*A283</f>
        <v>36.64</v>
      </c>
      <c r="E319" s="484">
        <f>'таланты+инициативы0,2672'!E252</f>
        <v>300</v>
      </c>
      <c r="F319" s="245">
        <f t="shared" si="15"/>
        <v>10992</v>
      </c>
    </row>
    <row r="320" spans="1:6" ht="16.5" x14ac:dyDescent="0.25">
      <c r="A320" s="210" t="str">
        <f>'таланты+инициативы0,2672'!A253</f>
        <v>Грабли, лопаты</v>
      </c>
      <c r="B320" s="163" t="s">
        <v>84</v>
      </c>
      <c r="C320" s="324"/>
      <c r="D320" s="434">
        <f>10*A283</f>
        <v>3.6640000000000001</v>
      </c>
      <c r="E320" s="484">
        <f>'таланты+инициативы0,2672'!E253</f>
        <v>400</v>
      </c>
      <c r="F320" s="245">
        <f t="shared" si="15"/>
        <v>1465.6000000000001</v>
      </c>
    </row>
    <row r="321" spans="1:6" ht="16.5" x14ac:dyDescent="0.25">
      <c r="A321" s="210" t="str">
        <f>'таланты+инициативы0,2672'!A254</f>
        <v>ГСМ УАЗ (Масло двигатель)</v>
      </c>
      <c r="B321" s="163" t="s">
        <v>84</v>
      </c>
      <c r="C321" s="324"/>
      <c r="D321" s="434">
        <f>20*A283</f>
        <v>7.3280000000000003</v>
      </c>
      <c r="E321" s="484">
        <f>'таланты+инициативы0,2672'!E254</f>
        <v>400</v>
      </c>
      <c r="F321" s="245">
        <f t="shared" si="15"/>
        <v>2931.2000000000003</v>
      </c>
    </row>
    <row r="322" spans="1:6" ht="16.5" x14ac:dyDescent="0.25">
      <c r="A322" s="210" t="str">
        <f>'таланты+инициативы0,2672'!A255</f>
        <v>ГСМ Бензин</v>
      </c>
      <c r="B322" s="163" t="s">
        <v>84</v>
      </c>
      <c r="C322" s="324"/>
      <c r="D322" s="434">
        <f>2600*A283</f>
        <v>952.64</v>
      </c>
      <c r="E322" s="484">
        <f>'таланты+инициативы0,2672'!E255</f>
        <v>50</v>
      </c>
      <c r="F322" s="245">
        <f t="shared" si="15"/>
        <v>47632</v>
      </c>
    </row>
    <row r="323" spans="1:6" ht="16.5" hidden="1" x14ac:dyDescent="0.25">
      <c r="A323" s="210">
        <f>'таланты+инициативы0,2672'!A256</f>
        <v>0</v>
      </c>
      <c r="B323" s="163" t="s">
        <v>84</v>
      </c>
      <c r="C323" s="324"/>
      <c r="D323" s="408">
        <v>0.36899999999999999</v>
      </c>
      <c r="E323" s="362">
        <f>'таланты+инициативы0,2672'!E256</f>
        <v>0</v>
      </c>
      <c r="F323" s="245">
        <f t="shared" si="15"/>
        <v>0</v>
      </c>
    </row>
    <row r="324" spans="1:6" ht="16.5" hidden="1" x14ac:dyDescent="0.25">
      <c r="A324" s="210">
        <f>'таланты+инициативы0,2672'!A257</f>
        <v>0</v>
      </c>
      <c r="B324" s="163" t="s">
        <v>84</v>
      </c>
      <c r="C324" s="324"/>
      <c r="D324" s="408">
        <f>32*0.369</f>
        <v>11.808</v>
      </c>
      <c r="E324" s="362">
        <f>'таланты+инициативы0,2672'!E257</f>
        <v>0</v>
      </c>
      <c r="F324" s="245">
        <f t="shared" si="15"/>
        <v>0</v>
      </c>
    </row>
    <row r="325" spans="1:6" ht="16.5" hidden="1" x14ac:dyDescent="0.25">
      <c r="A325" s="210">
        <f>'таланты+инициативы0,2672'!A258</f>
        <v>0</v>
      </c>
      <c r="B325" s="163" t="s">
        <v>84</v>
      </c>
      <c r="C325" s="324"/>
      <c r="D325" s="408">
        <f>7*0.369</f>
        <v>2.5830000000000002</v>
      </c>
      <c r="E325" s="362">
        <f>'таланты+инициативы0,2672'!E258</f>
        <v>0</v>
      </c>
      <c r="F325" s="245">
        <f t="shared" si="15"/>
        <v>0</v>
      </c>
    </row>
    <row r="326" spans="1:6" ht="16.5" hidden="1" x14ac:dyDescent="0.25">
      <c r="A326" s="210">
        <f>'таланты+инициативы0,2672'!A259</f>
        <v>0</v>
      </c>
      <c r="B326" s="163" t="s">
        <v>84</v>
      </c>
      <c r="C326" s="324"/>
      <c r="D326" s="408">
        <v>0.36899999999999999</v>
      </c>
      <c r="E326" s="362">
        <f>'таланты+инициативы0,2672'!E259</f>
        <v>0</v>
      </c>
      <c r="F326" s="245">
        <f t="shared" si="15"/>
        <v>0</v>
      </c>
    </row>
    <row r="327" spans="1:6" ht="16.5" hidden="1" x14ac:dyDescent="0.25">
      <c r="A327" s="210">
        <f>'таланты+инициативы0,2672'!A260</f>
        <v>0</v>
      </c>
      <c r="B327" s="163" t="s">
        <v>84</v>
      </c>
      <c r="C327" s="324"/>
      <c r="D327" s="408">
        <v>0.36899999999999999</v>
      </c>
      <c r="E327" s="362">
        <f>'таланты+инициативы0,2672'!E260</f>
        <v>0</v>
      </c>
      <c r="F327" s="245">
        <f t="shared" si="15"/>
        <v>0</v>
      </c>
    </row>
    <row r="328" spans="1:6" ht="16.5" hidden="1" x14ac:dyDescent="0.25">
      <c r="A328" s="210">
        <f>'таланты+инициативы0,2672'!A261</f>
        <v>0</v>
      </c>
      <c r="B328" s="163" t="s">
        <v>84</v>
      </c>
      <c r="C328" s="324"/>
      <c r="D328" s="408">
        <v>0.36899999999999999</v>
      </c>
      <c r="E328" s="362">
        <f>'таланты+инициативы0,2672'!E261</f>
        <v>0</v>
      </c>
      <c r="F328" s="245">
        <f t="shared" si="15"/>
        <v>0</v>
      </c>
    </row>
    <row r="329" spans="1:6" ht="16.5" hidden="1" x14ac:dyDescent="0.25">
      <c r="A329" s="210">
        <f>'таланты+инициативы0,2672'!A262</f>
        <v>0</v>
      </c>
      <c r="B329" s="163" t="s">
        <v>84</v>
      </c>
      <c r="C329" s="324"/>
      <c r="D329" s="408">
        <v>3.69</v>
      </c>
      <c r="E329" s="362">
        <f>'таланты+инициативы0,2672'!E262</f>
        <v>0</v>
      </c>
      <c r="F329" s="245">
        <f t="shared" si="15"/>
        <v>0</v>
      </c>
    </row>
    <row r="330" spans="1:6" ht="16.5" hidden="1" x14ac:dyDescent="0.25">
      <c r="A330" s="210">
        <f>'таланты+инициативы0,2672'!A263</f>
        <v>0</v>
      </c>
      <c r="B330" s="163" t="s">
        <v>84</v>
      </c>
      <c r="C330" s="324"/>
      <c r="D330" s="408">
        <f>20*0.369</f>
        <v>7.38</v>
      </c>
      <c r="E330" s="362">
        <f>'таланты+инициативы0,2672'!E263</f>
        <v>0</v>
      </c>
      <c r="F330" s="245">
        <f t="shared" si="15"/>
        <v>0</v>
      </c>
    </row>
    <row r="331" spans="1:6" ht="16.5" hidden="1" x14ac:dyDescent="0.25">
      <c r="A331" s="210">
        <f>'таланты+инициативы0,2672'!A264</f>
        <v>0</v>
      </c>
      <c r="B331" s="163" t="s">
        <v>84</v>
      </c>
      <c r="C331" s="324"/>
      <c r="D331" s="408">
        <f>2476.3*0.369</f>
        <v>913.75470000000007</v>
      </c>
      <c r="E331" s="362">
        <f>'таланты+инициативы0,2672'!E264</f>
        <v>0</v>
      </c>
      <c r="F331" s="245">
        <f t="shared" si="15"/>
        <v>0</v>
      </c>
    </row>
    <row r="332" spans="1:6" hidden="1" x14ac:dyDescent="0.25">
      <c r="A332" s="210" t="str">
        <f ca="1">'таланты+инициативы0,2672'!A265</f>
        <v>Комплект тонера для цветного принтера Hp</v>
      </c>
      <c r="B332" s="163" t="s">
        <v>84</v>
      </c>
      <c r="C332" s="324"/>
      <c r="D332" s="163">
        <f>PRODUCT(Лист1!G25,$A$283)</f>
        <v>10.992000000000001</v>
      </c>
      <c r="E332" s="312"/>
      <c r="F332" s="245">
        <f t="shared" si="15"/>
        <v>0</v>
      </c>
    </row>
    <row r="333" spans="1:6" hidden="1" x14ac:dyDescent="0.25">
      <c r="A333" s="210" t="str">
        <f ca="1">'таланты+инициативы0,2672'!A266</f>
        <v>Флеш накопители  16 гб</v>
      </c>
      <c r="B333" s="163" t="s">
        <v>84</v>
      </c>
      <c r="C333" s="324"/>
      <c r="D333" s="163">
        <f>PRODUCT(Лист1!G26,$A$283)</f>
        <v>1.8320000000000001</v>
      </c>
      <c r="E333" s="312"/>
      <c r="F333" s="245">
        <f t="shared" si="15"/>
        <v>0</v>
      </c>
    </row>
    <row r="334" spans="1:6" hidden="1" x14ac:dyDescent="0.25">
      <c r="A334" s="210" t="str">
        <f ca="1">'таланты+инициативы0,2672'!A267</f>
        <v>Флеш накопители  64 гб</v>
      </c>
      <c r="B334" s="163" t="s">
        <v>84</v>
      </c>
      <c r="C334" s="324"/>
      <c r="D334" s="163">
        <f>PRODUCT(Лист1!G27,$A$283)</f>
        <v>7.3280000000000003</v>
      </c>
      <c r="E334" s="312"/>
      <c r="F334" s="245">
        <f t="shared" si="15"/>
        <v>0</v>
      </c>
    </row>
    <row r="335" spans="1:6" hidden="1" x14ac:dyDescent="0.25">
      <c r="A335" s="210" t="str">
        <f ca="1">'таланты+инициативы0,2672'!A268</f>
        <v>Обучение персонала</v>
      </c>
      <c r="B335" s="163" t="s">
        <v>84</v>
      </c>
      <c r="C335" s="324"/>
      <c r="D335" s="163">
        <f>PRODUCT(Лист1!G28,$A$283)</f>
        <v>14.656000000000001</v>
      </c>
      <c r="E335" s="312"/>
      <c r="F335" s="245">
        <f t="shared" si="15"/>
        <v>0</v>
      </c>
    </row>
    <row r="336" spans="1:6" hidden="1" x14ac:dyDescent="0.25">
      <c r="A336" s="210" t="str">
        <f ca="1">'таланты+инициативы0,2672'!A269</f>
        <v>Переподготовка</v>
      </c>
      <c r="B336" s="163" t="s">
        <v>84</v>
      </c>
      <c r="C336" s="324"/>
      <c r="D336" s="163">
        <f>PRODUCT(Лист1!G29,$A$283)</f>
        <v>3.6640000000000001</v>
      </c>
      <c r="E336" s="312"/>
      <c r="F336" s="245">
        <f t="shared" si="15"/>
        <v>0</v>
      </c>
    </row>
    <row r="337" spans="1:6" hidden="1" x14ac:dyDescent="0.25">
      <c r="A337" s="210" t="str">
        <f ca="1">'таланты+инициативы0,2672'!A270</f>
        <v>Пиломатериал</v>
      </c>
      <c r="B337" s="163" t="s">
        <v>84</v>
      </c>
      <c r="C337" s="324"/>
      <c r="D337" s="163">
        <f>PRODUCT(Лист1!G30,$A$283)</f>
        <v>3.6640000000000001</v>
      </c>
      <c r="E337" s="312"/>
      <c r="F337" s="245">
        <f t="shared" si="15"/>
        <v>0</v>
      </c>
    </row>
    <row r="338" spans="1:6" hidden="1" x14ac:dyDescent="0.25">
      <c r="A338" s="210" t="str">
        <f ca="1">'таланты+инициативы0,2672'!A271</f>
        <v>Тонеры для картриджей Kyocera</v>
      </c>
      <c r="B338" s="163" t="s">
        <v>84</v>
      </c>
      <c r="C338" s="324"/>
      <c r="D338" s="163">
        <f>PRODUCT(Лист1!G31,$A$283)</f>
        <v>3.6640000000000001</v>
      </c>
      <c r="E338" s="312"/>
      <c r="F338" s="245">
        <f t="shared" si="15"/>
        <v>0</v>
      </c>
    </row>
    <row r="339" spans="1:6" hidden="1" x14ac:dyDescent="0.25">
      <c r="A339" s="210" t="str">
        <f ca="1">'таланты+инициативы0,2672'!A272</f>
        <v>Комплект тонеров для цветного принтера Canon</v>
      </c>
      <c r="B339" s="163" t="s">
        <v>84</v>
      </c>
      <c r="C339" s="324"/>
      <c r="D339" s="163">
        <f>PRODUCT(Лист1!G32,$A$283)</f>
        <v>10.992000000000001</v>
      </c>
      <c r="E339" s="312"/>
      <c r="F339" s="245">
        <f t="shared" si="15"/>
        <v>0</v>
      </c>
    </row>
    <row r="340" spans="1:6" hidden="1" x14ac:dyDescent="0.25">
      <c r="A340" s="210" t="str">
        <f ca="1">'таланты+инициативы0,2672'!A273</f>
        <v>Комплект тонера для цветного принтера Hp</v>
      </c>
      <c r="B340" s="163" t="s">
        <v>84</v>
      </c>
      <c r="C340" s="324"/>
      <c r="D340" s="163">
        <f>PRODUCT(Лист1!G33,$A$283)</f>
        <v>19.4192</v>
      </c>
      <c r="E340" s="312"/>
      <c r="F340" s="245">
        <f t="shared" si="15"/>
        <v>0</v>
      </c>
    </row>
    <row r="341" spans="1:6" hidden="1" x14ac:dyDescent="0.25">
      <c r="A341" s="210" t="str">
        <f ca="1">'таланты+инициативы0,2672'!A274</f>
        <v>Флеш накопители  16 гб</v>
      </c>
      <c r="B341" s="163" t="s">
        <v>84</v>
      </c>
      <c r="C341" s="324"/>
      <c r="D341" s="163">
        <f>PRODUCT(Лист1!G34,$A$283)</f>
        <v>14.656000000000001</v>
      </c>
      <c r="E341" s="312"/>
      <c r="F341" s="245">
        <f t="shared" si="15"/>
        <v>0</v>
      </c>
    </row>
    <row r="342" spans="1:6" hidden="1" x14ac:dyDescent="0.25">
      <c r="A342" s="210" t="str">
        <f ca="1">'таланты+инициативы0,2672'!A275</f>
        <v>Флеш накопители  64 гб</v>
      </c>
      <c r="B342" s="163" t="s">
        <v>84</v>
      </c>
      <c r="C342" s="324"/>
      <c r="D342" s="163">
        <f>PRODUCT(Лист1!G35,$A$283)</f>
        <v>18.32</v>
      </c>
      <c r="E342" s="312"/>
      <c r="F342" s="245">
        <f t="shared" si="15"/>
        <v>0</v>
      </c>
    </row>
    <row r="343" spans="1:6" hidden="1" x14ac:dyDescent="0.25">
      <c r="A343" s="210" t="str">
        <f ca="1">'таланты+инициативы0,2672'!A276</f>
        <v>Обучение персонала</v>
      </c>
      <c r="B343" s="163" t="s">
        <v>84</v>
      </c>
      <c r="C343" s="324"/>
      <c r="D343" s="163">
        <f>PRODUCT(Лист1!G36,$A$283)</f>
        <v>73.28</v>
      </c>
      <c r="E343" s="312"/>
      <c r="F343" s="245">
        <f t="shared" si="15"/>
        <v>0</v>
      </c>
    </row>
    <row r="344" spans="1:6" hidden="1" x14ac:dyDescent="0.25">
      <c r="A344" s="210" t="str">
        <f ca="1">'таланты+инициативы0,2672'!A277</f>
        <v>Переподготовка</v>
      </c>
      <c r="B344" s="163" t="s">
        <v>84</v>
      </c>
      <c r="C344" s="324"/>
      <c r="D344" s="163">
        <f>PRODUCT(Лист1!G37,$A$283)</f>
        <v>25.648</v>
      </c>
      <c r="E344" s="312"/>
      <c r="F344" s="245">
        <f t="shared" si="15"/>
        <v>0</v>
      </c>
    </row>
    <row r="345" spans="1:6" hidden="1" x14ac:dyDescent="0.25">
      <c r="A345" s="210" t="str">
        <f ca="1">'таланты+инициативы0,2672'!A278</f>
        <v>Пиломатериал</v>
      </c>
      <c r="B345" s="163" t="s">
        <v>84</v>
      </c>
      <c r="C345" s="324"/>
      <c r="D345" s="163">
        <f>PRODUCT(Лист1!G38,$A$283)</f>
        <v>3.6640000000000001</v>
      </c>
      <c r="E345" s="312"/>
      <c r="F345" s="245">
        <f t="shared" si="15"/>
        <v>0</v>
      </c>
    </row>
    <row r="346" spans="1:6" hidden="1" x14ac:dyDescent="0.25">
      <c r="A346" s="210" t="str">
        <f ca="1">'таланты+инициативы0,2672'!A279</f>
        <v>Тонеры для картриджей Kyocera</v>
      </c>
      <c r="B346" s="163" t="s">
        <v>84</v>
      </c>
      <c r="C346" s="324"/>
      <c r="D346" s="163">
        <f>PRODUCT(Лист1!G39,$A$283)</f>
        <v>3.6640000000000001</v>
      </c>
      <c r="E346" s="312"/>
      <c r="F346" s="245">
        <f t="shared" si="15"/>
        <v>0</v>
      </c>
    </row>
    <row r="347" spans="1:6" hidden="1" x14ac:dyDescent="0.25">
      <c r="A347" s="210" t="str">
        <f ca="1">'таланты+инициативы0,2672'!A280</f>
        <v>Комплект тонеров для цветного принтера Canon</v>
      </c>
      <c r="B347" s="163" t="s">
        <v>84</v>
      </c>
      <c r="C347" s="324"/>
      <c r="D347" s="163">
        <f>PRODUCT(Лист1!G40,$A$283)</f>
        <v>1099.2</v>
      </c>
      <c r="E347" s="312"/>
      <c r="F347" s="245">
        <f t="shared" ref="F347:F390" si="16">D347*E347</f>
        <v>0</v>
      </c>
    </row>
    <row r="348" spans="1:6" hidden="1" x14ac:dyDescent="0.25">
      <c r="A348" s="210" t="str">
        <f ca="1">'таланты+инициативы0,2672'!A281</f>
        <v>Комплект тонера для цветного принтера Hp</v>
      </c>
      <c r="B348" s="163" t="s">
        <v>84</v>
      </c>
      <c r="C348" s="324"/>
      <c r="D348" s="163">
        <f>PRODUCT(Лист1!G41,$A$283)</f>
        <v>0.3664</v>
      </c>
      <c r="E348" s="312"/>
      <c r="F348" s="245">
        <f t="shared" si="16"/>
        <v>0</v>
      </c>
    </row>
    <row r="349" spans="1:6" hidden="1" x14ac:dyDescent="0.25">
      <c r="A349" s="210" t="str">
        <f ca="1">'таланты+инициативы0,2672'!A282</f>
        <v>Флеш накопители  16 гб</v>
      </c>
      <c r="B349" s="163" t="s">
        <v>84</v>
      </c>
      <c r="C349" s="324"/>
      <c r="D349" s="163">
        <f>PRODUCT(Лист1!G42,$A$283)</f>
        <v>0.3664</v>
      </c>
      <c r="E349" s="312"/>
      <c r="F349" s="245">
        <f t="shared" si="16"/>
        <v>0</v>
      </c>
    </row>
    <row r="350" spans="1:6" hidden="1" x14ac:dyDescent="0.25">
      <c r="A350" s="210" t="str">
        <f ca="1">'таланты+инициативы0,2672'!A283</f>
        <v>Флеш накопители  64 гб</v>
      </c>
      <c r="B350" s="163" t="s">
        <v>84</v>
      </c>
      <c r="C350" s="324"/>
      <c r="D350" s="163">
        <f>PRODUCT(Лист1!G43,$A$283)</f>
        <v>0.3664</v>
      </c>
      <c r="E350" s="312"/>
      <c r="F350" s="245">
        <f t="shared" si="16"/>
        <v>0</v>
      </c>
    </row>
    <row r="351" spans="1:6" hidden="1" x14ac:dyDescent="0.25">
      <c r="A351" s="210" t="str">
        <f ca="1">'таланты+инициативы0,2672'!A284</f>
        <v>Обучение персонала</v>
      </c>
      <c r="B351" s="163" t="s">
        <v>84</v>
      </c>
      <c r="C351" s="324"/>
      <c r="D351" s="163">
        <f>PRODUCT(Лист1!G44,$A$283)</f>
        <v>0.3664</v>
      </c>
      <c r="E351" s="312"/>
      <c r="F351" s="245">
        <f t="shared" si="16"/>
        <v>0</v>
      </c>
    </row>
    <row r="352" spans="1:6" hidden="1" x14ac:dyDescent="0.25">
      <c r="A352" s="210" t="str">
        <f ca="1">'таланты+инициативы0,2672'!A285</f>
        <v>Переподготовка</v>
      </c>
      <c r="B352" s="163" t="s">
        <v>84</v>
      </c>
      <c r="C352" s="324"/>
      <c r="D352" s="163">
        <f>PRODUCT(Лист1!G45,$A$283)</f>
        <v>0.3664</v>
      </c>
      <c r="E352" s="312"/>
      <c r="F352" s="245">
        <f t="shared" si="16"/>
        <v>0</v>
      </c>
    </row>
    <row r="353" spans="1:6" hidden="1" x14ac:dyDescent="0.25">
      <c r="A353" s="210" t="str">
        <f ca="1">'таланты+инициативы0,2672'!A286</f>
        <v>Пиломатериал</v>
      </c>
      <c r="B353" s="163" t="s">
        <v>84</v>
      </c>
      <c r="C353" s="324"/>
      <c r="D353" s="163">
        <f>PRODUCT(Лист1!G46,$A$283)</f>
        <v>0.3664</v>
      </c>
      <c r="E353" s="312"/>
      <c r="F353" s="245">
        <f t="shared" si="16"/>
        <v>0</v>
      </c>
    </row>
    <row r="354" spans="1:6" hidden="1" x14ac:dyDescent="0.25">
      <c r="A354" s="210" t="str">
        <f ca="1">'таланты+инициативы0,2672'!A287</f>
        <v>Тонеры для картриджей Kyocera</v>
      </c>
      <c r="B354" s="163" t="s">
        <v>84</v>
      </c>
      <c r="C354" s="324"/>
      <c r="D354" s="163">
        <f>PRODUCT(Лист1!G47,$A$283)</f>
        <v>0.3664</v>
      </c>
      <c r="E354" s="312"/>
      <c r="F354" s="245">
        <f t="shared" si="16"/>
        <v>0</v>
      </c>
    </row>
    <row r="355" spans="1:6" hidden="1" x14ac:dyDescent="0.25">
      <c r="A355" s="210" t="str">
        <f ca="1">'таланты+инициативы0,2672'!A288</f>
        <v>Комплект тонеров для цветного принтера Canon</v>
      </c>
      <c r="B355" s="163" t="s">
        <v>84</v>
      </c>
      <c r="C355" s="324"/>
      <c r="D355" s="163">
        <f>PRODUCT(Лист1!G48,$A$283)</f>
        <v>0.3664</v>
      </c>
      <c r="E355" s="312"/>
      <c r="F355" s="245">
        <f t="shared" si="16"/>
        <v>0</v>
      </c>
    </row>
    <row r="356" spans="1:6" hidden="1" x14ac:dyDescent="0.25">
      <c r="A356" s="210" t="str">
        <f ca="1">'таланты+инициативы0,2672'!A289</f>
        <v>Комплект тонера для цветного принтера Hp</v>
      </c>
      <c r="B356" s="163" t="s">
        <v>84</v>
      </c>
      <c r="C356" s="324"/>
      <c r="D356" s="163">
        <f>PRODUCT(Лист1!G49,$A$283)</f>
        <v>0.3664</v>
      </c>
      <c r="E356" s="312"/>
      <c r="F356" s="245">
        <f t="shared" si="16"/>
        <v>0</v>
      </c>
    </row>
    <row r="357" spans="1:6" hidden="1" x14ac:dyDescent="0.25">
      <c r="A357" s="210" t="str">
        <f ca="1">'таланты+инициативы0,2672'!A290</f>
        <v>Флеш накопители  16 гб</v>
      </c>
      <c r="B357" s="163" t="s">
        <v>84</v>
      </c>
      <c r="C357" s="324"/>
      <c r="D357" s="163">
        <f>PRODUCT(Лист1!G50,$A$283)</f>
        <v>0.3664</v>
      </c>
      <c r="E357" s="312"/>
      <c r="F357" s="245">
        <f t="shared" si="16"/>
        <v>0</v>
      </c>
    </row>
    <row r="358" spans="1:6" hidden="1" x14ac:dyDescent="0.25">
      <c r="A358" s="210" t="str">
        <f ca="1">'таланты+инициативы0,2672'!A291</f>
        <v>Флеш накопители  64 гб</v>
      </c>
      <c r="B358" s="163" t="s">
        <v>84</v>
      </c>
      <c r="C358" s="324"/>
      <c r="D358" s="163">
        <f>PRODUCT(Лист1!G51,$A$283)</f>
        <v>0.3664</v>
      </c>
      <c r="E358" s="312"/>
      <c r="F358" s="245">
        <f t="shared" si="16"/>
        <v>0</v>
      </c>
    </row>
    <row r="359" spans="1:6" hidden="1" x14ac:dyDescent="0.25">
      <c r="A359" s="210" t="str">
        <f ca="1">'таланты+инициативы0,2672'!A292</f>
        <v>Обучение персонала</v>
      </c>
      <c r="B359" s="163" t="s">
        <v>84</v>
      </c>
      <c r="C359" s="324"/>
      <c r="D359" s="163">
        <f>PRODUCT(Лист1!G52,$A$283)</f>
        <v>0.3664</v>
      </c>
      <c r="E359" s="312"/>
      <c r="F359" s="245">
        <f t="shared" si="16"/>
        <v>0</v>
      </c>
    </row>
    <row r="360" spans="1:6" hidden="1" x14ac:dyDescent="0.25">
      <c r="A360" s="210" t="str">
        <f ca="1">'таланты+инициативы0,2672'!A293</f>
        <v>Переподготовка</v>
      </c>
      <c r="B360" s="163" t="s">
        <v>84</v>
      </c>
      <c r="C360" s="324"/>
      <c r="D360" s="163">
        <f>PRODUCT(Лист1!G53,$A$283)</f>
        <v>0.3664</v>
      </c>
      <c r="E360" s="312"/>
      <c r="F360" s="245">
        <f t="shared" si="16"/>
        <v>0</v>
      </c>
    </row>
    <row r="361" spans="1:6" hidden="1" x14ac:dyDescent="0.25">
      <c r="A361" s="210" t="str">
        <f ca="1">'таланты+инициативы0,2672'!A294</f>
        <v>Пиломатериал</v>
      </c>
      <c r="B361" s="163" t="s">
        <v>84</v>
      </c>
      <c r="C361" s="324"/>
      <c r="D361" s="163">
        <f>PRODUCT(Лист1!G54,$A$283)</f>
        <v>0.3664</v>
      </c>
      <c r="E361" s="312"/>
      <c r="F361" s="245">
        <f t="shared" si="16"/>
        <v>0</v>
      </c>
    </row>
    <row r="362" spans="1:6" hidden="1" x14ac:dyDescent="0.25">
      <c r="A362" s="210" t="str">
        <f ca="1">'таланты+инициативы0,2672'!A295</f>
        <v>Тонеры для картриджей Kyocera</v>
      </c>
      <c r="B362" s="163" t="s">
        <v>84</v>
      </c>
      <c r="C362" s="324"/>
      <c r="D362" s="163">
        <f>PRODUCT(Лист1!G55,$A$283)</f>
        <v>0.3664</v>
      </c>
      <c r="E362" s="312"/>
      <c r="F362" s="245">
        <f t="shared" si="16"/>
        <v>0</v>
      </c>
    </row>
    <row r="363" spans="1:6" hidden="1" x14ac:dyDescent="0.25">
      <c r="A363" s="210" t="str">
        <f ca="1">'таланты+инициативы0,2672'!A296</f>
        <v>Комплект тонеров для цветного принтера Canon</v>
      </c>
      <c r="B363" s="163" t="s">
        <v>84</v>
      </c>
      <c r="C363" s="324"/>
      <c r="D363" s="163">
        <f>PRODUCT(Лист1!G56,$A$283)</f>
        <v>0.3664</v>
      </c>
      <c r="E363" s="312"/>
      <c r="F363" s="245">
        <f t="shared" si="16"/>
        <v>0</v>
      </c>
    </row>
    <row r="364" spans="1:6" hidden="1" x14ac:dyDescent="0.25">
      <c r="A364" s="210" t="str">
        <f ca="1">'таланты+инициативы0,2672'!A297</f>
        <v>Комплект тонера для цветного принтера Hp</v>
      </c>
      <c r="B364" s="163" t="s">
        <v>84</v>
      </c>
      <c r="C364" s="324"/>
      <c r="D364" s="163">
        <f>PRODUCT(Лист1!G57,$A$283)</f>
        <v>0.3664</v>
      </c>
      <c r="E364" s="312"/>
      <c r="F364" s="245">
        <f t="shared" si="16"/>
        <v>0</v>
      </c>
    </row>
    <row r="365" spans="1:6" hidden="1" x14ac:dyDescent="0.25">
      <c r="A365" s="210" t="str">
        <f ca="1">'таланты+инициативы0,2672'!A298</f>
        <v>Флеш накопители  16 гб</v>
      </c>
      <c r="B365" s="163" t="s">
        <v>84</v>
      </c>
      <c r="C365" s="324"/>
      <c r="D365" s="163">
        <f>PRODUCT(Лист1!G58,$A$283)</f>
        <v>0.3664</v>
      </c>
      <c r="E365" s="312"/>
      <c r="F365" s="245">
        <f t="shared" si="16"/>
        <v>0</v>
      </c>
    </row>
    <row r="366" spans="1:6" hidden="1" x14ac:dyDescent="0.25">
      <c r="A366" s="210" t="str">
        <f ca="1">'таланты+инициативы0,2672'!A299</f>
        <v>Флеш накопители  64 гб</v>
      </c>
      <c r="B366" s="163" t="s">
        <v>84</v>
      </c>
      <c r="C366" s="324"/>
      <c r="D366" s="163">
        <f>PRODUCT(Лист1!G59,$A$283)</f>
        <v>0.3664</v>
      </c>
      <c r="E366" s="312"/>
      <c r="F366" s="245">
        <f t="shared" si="16"/>
        <v>0</v>
      </c>
    </row>
    <row r="367" spans="1:6" hidden="1" x14ac:dyDescent="0.25">
      <c r="A367" s="210" t="str">
        <f ca="1">'таланты+инициативы0,2672'!A300</f>
        <v>Обучение персонала</v>
      </c>
      <c r="B367" s="163" t="s">
        <v>84</v>
      </c>
      <c r="C367" s="324"/>
      <c r="D367" s="163">
        <f>PRODUCT(Лист1!G60,$A$283)</f>
        <v>0.3664</v>
      </c>
      <c r="E367" s="312"/>
      <c r="F367" s="245">
        <f t="shared" si="16"/>
        <v>0</v>
      </c>
    </row>
    <row r="368" spans="1:6" hidden="1" x14ac:dyDescent="0.25">
      <c r="A368" s="210" t="str">
        <f ca="1">'таланты+инициативы0,2672'!A301</f>
        <v>Переподготовка</v>
      </c>
      <c r="B368" s="163" t="s">
        <v>84</v>
      </c>
      <c r="C368" s="324"/>
      <c r="D368" s="163">
        <f>PRODUCT(Лист1!G61,$A$283)</f>
        <v>0.3664</v>
      </c>
      <c r="E368" s="312"/>
      <c r="F368" s="245">
        <f t="shared" si="16"/>
        <v>0</v>
      </c>
    </row>
    <row r="369" spans="1:6" hidden="1" x14ac:dyDescent="0.25">
      <c r="A369" s="210" t="str">
        <f ca="1">'таланты+инициативы0,2672'!A302</f>
        <v>Пиломатериал</v>
      </c>
      <c r="B369" s="163" t="s">
        <v>84</v>
      </c>
      <c r="C369" s="324"/>
      <c r="D369" s="163">
        <f>PRODUCT(Лист1!G62,$A$283)</f>
        <v>0.3664</v>
      </c>
      <c r="E369" s="312"/>
      <c r="F369" s="245">
        <f t="shared" si="16"/>
        <v>0</v>
      </c>
    </row>
    <row r="370" spans="1:6" hidden="1" x14ac:dyDescent="0.25">
      <c r="A370" s="210" t="str">
        <f ca="1">'таланты+инициативы0,2672'!A303</f>
        <v>Тонеры для картриджей Kyocera</v>
      </c>
      <c r="B370" s="163" t="s">
        <v>84</v>
      </c>
      <c r="C370" s="324"/>
      <c r="D370" s="163">
        <f>PRODUCT(Лист1!G63,$A$283)</f>
        <v>0.3664</v>
      </c>
      <c r="E370" s="312"/>
      <c r="F370" s="245">
        <f t="shared" si="16"/>
        <v>0</v>
      </c>
    </row>
    <row r="371" spans="1:6" hidden="1" x14ac:dyDescent="0.25">
      <c r="A371" s="210" t="str">
        <f ca="1">'таланты+инициативы0,2672'!A304</f>
        <v>Комплект тонеров для цветного принтера Canon</v>
      </c>
      <c r="B371" s="163" t="s">
        <v>84</v>
      </c>
      <c r="C371" s="324"/>
      <c r="D371" s="163">
        <f>PRODUCT(Лист1!G64,$A$283)</f>
        <v>0.3664</v>
      </c>
      <c r="E371" s="312"/>
      <c r="F371" s="245">
        <f t="shared" si="16"/>
        <v>0</v>
      </c>
    </row>
    <row r="372" spans="1:6" hidden="1" x14ac:dyDescent="0.25">
      <c r="A372" s="210" t="str">
        <f ca="1">'таланты+инициативы0,2672'!A305</f>
        <v>Комплект тонера для цветного принтера Hp</v>
      </c>
      <c r="B372" s="163" t="s">
        <v>84</v>
      </c>
      <c r="C372" s="324"/>
      <c r="D372" s="163">
        <f>PRODUCT(Лист1!G65,$A$283)</f>
        <v>0.3664</v>
      </c>
      <c r="E372" s="312"/>
      <c r="F372" s="245">
        <f t="shared" si="16"/>
        <v>0</v>
      </c>
    </row>
    <row r="373" spans="1:6" hidden="1" x14ac:dyDescent="0.25">
      <c r="A373" s="210" t="str">
        <f ca="1">'таланты+инициативы0,2672'!A306</f>
        <v>Флеш накопители  16 гб</v>
      </c>
      <c r="B373" s="163" t="s">
        <v>84</v>
      </c>
      <c r="C373" s="324"/>
      <c r="D373" s="163">
        <f>PRODUCT(Лист1!G66,$A$283)</f>
        <v>0.3664</v>
      </c>
      <c r="E373" s="312"/>
      <c r="F373" s="245">
        <f t="shared" si="16"/>
        <v>0</v>
      </c>
    </row>
    <row r="374" spans="1:6" hidden="1" x14ac:dyDescent="0.25">
      <c r="A374" s="210" t="str">
        <f ca="1">'таланты+инициативы0,2672'!A307</f>
        <v>Флеш накопители  64 гб</v>
      </c>
      <c r="B374" s="163" t="s">
        <v>84</v>
      </c>
      <c r="C374" s="324"/>
      <c r="D374" s="163">
        <f>PRODUCT(Лист1!G67,$A$283)</f>
        <v>0.3664</v>
      </c>
      <c r="E374" s="312"/>
      <c r="F374" s="245">
        <f t="shared" si="16"/>
        <v>0</v>
      </c>
    </row>
    <row r="375" spans="1:6" hidden="1" x14ac:dyDescent="0.25">
      <c r="A375" s="210" t="str">
        <f ca="1">'таланты+инициативы0,2672'!A308</f>
        <v>Обучение персонала</v>
      </c>
      <c r="B375" s="163" t="s">
        <v>84</v>
      </c>
      <c r="C375" s="324"/>
      <c r="D375" s="163">
        <f>PRODUCT(Лист1!G68,$A$283)</f>
        <v>0.3664</v>
      </c>
      <c r="E375" s="312"/>
      <c r="F375" s="245">
        <f t="shared" si="16"/>
        <v>0</v>
      </c>
    </row>
    <row r="376" spans="1:6" hidden="1" x14ac:dyDescent="0.25">
      <c r="A376" s="210" t="str">
        <f ca="1">'таланты+инициативы0,2672'!A309</f>
        <v>Переподготовка</v>
      </c>
      <c r="B376" s="163" t="s">
        <v>84</v>
      </c>
      <c r="C376" s="324"/>
      <c r="D376" s="163">
        <f>PRODUCT(Лист1!G69,$A$283)</f>
        <v>0.3664</v>
      </c>
      <c r="E376" s="312"/>
      <c r="F376" s="245">
        <f t="shared" si="16"/>
        <v>0</v>
      </c>
    </row>
    <row r="377" spans="1:6" hidden="1" x14ac:dyDescent="0.25">
      <c r="A377" s="210" t="str">
        <f ca="1">'таланты+инициативы0,2672'!A310</f>
        <v>Пиломатериал</v>
      </c>
      <c r="B377" s="163" t="s">
        <v>84</v>
      </c>
      <c r="C377" s="324"/>
      <c r="D377" s="163">
        <f>PRODUCT(Лист1!G70,$A$283)</f>
        <v>0.3664</v>
      </c>
      <c r="E377" s="312"/>
      <c r="F377" s="245">
        <f t="shared" si="16"/>
        <v>0</v>
      </c>
    </row>
    <row r="378" spans="1:6" hidden="1" x14ac:dyDescent="0.25">
      <c r="A378" s="210" t="str">
        <f ca="1">'таланты+инициативы0,2672'!A311</f>
        <v>Тонеры для картриджей Kyocera</v>
      </c>
      <c r="B378" s="163" t="s">
        <v>84</v>
      </c>
      <c r="C378" s="324"/>
      <c r="D378" s="163">
        <f>PRODUCT(Лист1!G71,$A$283)</f>
        <v>0.3664</v>
      </c>
      <c r="E378" s="312"/>
      <c r="F378" s="245">
        <f t="shared" si="16"/>
        <v>0</v>
      </c>
    </row>
    <row r="379" spans="1:6" hidden="1" x14ac:dyDescent="0.25">
      <c r="A379" s="210" t="str">
        <f ca="1">'таланты+инициативы0,2672'!A312</f>
        <v>Комплект тонеров для цветного принтера Canon</v>
      </c>
      <c r="B379" s="163" t="s">
        <v>84</v>
      </c>
      <c r="C379" s="324"/>
      <c r="D379" s="163">
        <f>PRODUCT(Лист1!G72,$A$283)</f>
        <v>0.3664</v>
      </c>
      <c r="E379" s="312"/>
      <c r="F379" s="245">
        <f t="shared" si="16"/>
        <v>0</v>
      </c>
    </row>
    <row r="380" spans="1:6" hidden="1" x14ac:dyDescent="0.25">
      <c r="A380" s="210" t="str">
        <f ca="1">'таланты+инициативы0,2672'!A313</f>
        <v>Комплект тонера для цветного принтера Hp</v>
      </c>
      <c r="B380" s="163" t="s">
        <v>84</v>
      </c>
      <c r="C380" s="324"/>
      <c r="D380" s="163">
        <f>PRODUCT(Лист1!G73,$A$283)</f>
        <v>0.3664</v>
      </c>
      <c r="E380" s="312"/>
      <c r="F380" s="245">
        <f t="shared" si="16"/>
        <v>0</v>
      </c>
    </row>
    <row r="381" spans="1:6" hidden="1" x14ac:dyDescent="0.25">
      <c r="A381" s="210" t="str">
        <f ca="1">'таланты+инициативы0,2672'!A314</f>
        <v>Флеш накопители  16 гб</v>
      </c>
      <c r="B381" s="163" t="s">
        <v>84</v>
      </c>
      <c r="C381" s="324"/>
      <c r="D381" s="163">
        <f>PRODUCT(Лист1!G74,$A$283)</f>
        <v>0.3664</v>
      </c>
      <c r="E381" s="312"/>
      <c r="F381" s="245">
        <f t="shared" si="16"/>
        <v>0</v>
      </c>
    </row>
    <row r="382" spans="1:6" hidden="1" x14ac:dyDescent="0.25">
      <c r="A382" s="210" t="str">
        <f ca="1">'таланты+инициативы0,2672'!A315</f>
        <v>Флеш накопители  64 гб</v>
      </c>
      <c r="B382" s="163" t="s">
        <v>84</v>
      </c>
      <c r="C382" s="324"/>
      <c r="D382" s="163">
        <f>PRODUCT(Лист1!G75,$A$283)</f>
        <v>0.3664</v>
      </c>
      <c r="E382" s="312"/>
      <c r="F382" s="245">
        <f t="shared" si="16"/>
        <v>0</v>
      </c>
    </row>
    <row r="383" spans="1:6" hidden="1" x14ac:dyDescent="0.25">
      <c r="A383" s="210" t="str">
        <f ca="1">'таланты+инициативы0,2672'!A316</f>
        <v>Обучение персонала</v>
      </c>
      <c r="B383" s="163" t="s">
        <v>84</v>
      </c>
      <c r="C383" s="324"/>
      <c r="D383" s="163">
        <f>PRODUCT(Лист1!G76,$A$283)</f>
        <v>0.3664</v>
      </c>
      <c r="E383" s="312"/>
      <c r="F383" s="245">
        <f t="shared" si="16"/>
        <v>0</v>
      </c>
    </row>
    <row r="384" spans="1:6" hidden="1" x14ac:dyDescent="0.25">
      <c r="A384" s="210" t="str">
        <f ca="1">'таланты+инициативы0,2672'!A317</f>
        <v>Переподготовка</v>
      </c>
      <c r="B384" s="163" t="s">
        <v>84</v>
      </c>
      <c r="C384" s="324"/>
      <c r="D384" s="163">
        <f>PRODUCT(Лист1!G77,$A$283)</f>
        <v>0.3664</v>
      </c>
      <c r="E384" s="312"/>
      <c r="F384" s="245">
        <f t="shared" si="16"/>
        <v>0</v>
      </c>
    </row>
    <row r="385" spans="1:6" hidden="1" x14ac:dyDescent="0.25">
      <c r="A385" s="210" t="str">
        <f ca="1">'таланты+инициативы0,2672'!A318</f>
        <v>Пиломатериал</v>
      </c>
      <c r="B385" s="163" t="s">
        <v>84</v>
      </c>
      <c r="C385" s="324"/>
      <c r="D385" s="163">
        <f>PRODUCT(Лист1!G78,$A$283)</f>
        <v>0.3664</v>
      </c>
      <c r="E385" s="312"/>
      <c r="F385" s="245">
        <f t="shared" si="16"/>
        <v>0</v>
      </c>
    </row>
    <row r="386" spans="1:6" hidden="1" x14ac:dyDescent="0.25">
      <c r="A386" s="210" t="str">
        <f ca="1">'таланты+инициативы0,2672'!A319</f>
        <v>Тонеры для картриджей Kyocera</v>
      </c>
      <c r="B386" s="163" t="s">
        <v>84</v>
      </c>
      <c r="C386" s="324"/>
      <c r="D386" s="163">
        <f>PRODUCT(Лист1!G79,$A$283)</f>
        <v>0.3664</v>
      </c>
      <c r="E386" s="312"/>
      <c r="F386" s="245">
        <f t="shared" si="16"/>
        <v>0</v>
      </c>
    </row>
    <row r="387" spans="1:6" hidden="1" x14ac:dyDescent="0.25">
      <c r="A387" s="210" t="str">
        <f ca="1">'таланты+инициативы0,2672'!A320</f>
        <v>Комплект тонеров для цветного принтера Canon</v>
      </c>
      <c r="B387" s="163" t="s">
        <v>84</v>
      </c>
      <c r="C387" s="324"/>
      <c r="D387" s="163">
        <f>PRODUCT(Лист1!G80,$A$283)</f>
        <v>0.3664</v>
      </c>
      <c r="E387" s="312"/>
      <c r="F387" s="245">
        <f t="shared" si="16"/>
        <v>0</v>
      </c>
    </row>
    <row r="388" spans="1:6" hidden="1" x14ac:dyDescent="0.25">
      <c r="A388" s="210" t="str">
        <f ca="1">'таланты+инициативы0,2672'!A321</f>
        <v>Комплект тонера для цветного принтера Hp</v>
      </c>
      <c r="B388" s="163" t="s">
        <v>84</v>
      </c>
      <c r="C388" s="324"/>
      <c r="D388" s="163">
        <f>PRODUCT(Лист1!G81,$A$283)</f>
        <v>0.3664</v>
      </c>
      <c r="E388" s="312"/>
      <c r="F388" s="245">
        <f t="shared" si="16"/>
        <v>0</v>
      </c>
    </row>
    <row r="389" spans="1:6" hidden="1" x14ac:dyDescent="0.25">
      <c r="A389" s="210" t="str">
        <f ca="1">'таланты+инициативы0,2672'!A322</f>
        <v>Флеш накопители  16 гб</v>
      </c>
      <c r="B389" s="163" t="s">
        <v>84</v>
      </c>
      <c r="C389" s="324"/>
      <c r="D389" s="163">
        <f>PRODUCT(Лист1!G82,$A$283)</f>
        <v>0.3664</v>
      </c>
      <c r="E389" s="312"/>
      <c r="F389" s="245">
        <f t="shared" si="16"/>
        <v>0</v>
      </c>
    </row>
    <row r="390" spans="1:6" hidden="1" x14ac:dyDescent="0.25">
      <c r="A390" s="210" t="str">
        <f ca="1">'таланты+инициативы0,2672'!A323</f>
        <v>Флеш накопители  64 гб</v>
      </c>
      <c r="B390" s="163" t="s">
        <v>84</v>
      </c>
      <c r="C390" s="324"/>
      <c r="D390" s="163">
        <f>PRODUCT(Лист1!G83,$A$283)</f>
        <v>0.3664</v>
      </c>
      <c r="E390" s="312"/>
      <c r="F390" s="245">
        <f t="shared" si="16"/>
        <v>0</v>
      </c>
    </row>
    <row r="391" spans="1:6" hidden="1" x14ac:dyDescent="0.25">
      <c r="A391" s="210" t="str">
        <f ca="1">'таланты+инициативы0,2672'!A324</f>
        <v>Обучение персонала</v>
      </c>
      <c r="B391" s="163" t="s">
        <v>84</v>
      </c>
      <c r="C391" s="324"/>
      <c r="D391" s="163">
        <f>PRODUCT(Лист1!G84,$A$283)</f>
        <v>0.3664</v>
      </c>
      <c r="E391" s="312"/>
      <c r="F391" s="245">
        <f t="shared" ref="F391:F454" si="17">D391*E391</f>
        <v>0</v>
      </c>
    </row>
    <row r="392" spans="1:6" hidden="1" x14ac:dyDescent="0.25">
      <c r="A392" s="210" t="str">
        <f ca="1">'таланты+инициативы0,2672'!A325</f>
        <v>Переподготовка</v>
      </c>
      <c r="B392" s="163" t="s">
        <v>84</v>
      </c>
      <c r="C392" s="324"/>
      <c r="D392" s="163">
        <f>PRODUCT(Лист1!G85,$A$283)</f>
        <v>0.3664</v>
      </c>
      <c r="E392" s="312"/>
      <c r="F392" s="245">
        <f t="shared" si="17"/>
        <v>0</v>
      </c>
    </row>
    <row r="393" spans="1:6" hidden="1" x14ac:dyDescent="0.25">
      <c r="A393" s="210" t="str">
        <f ca="1">'таланты+инициативы0,2672'!A326</f>
        <v>Пиломатериал</v>
      </c>
      <c r="B393" s="163" t="s">
        <v>84</v>
      </c>
      <c r="C393" s="324"/>
      <c r="D393" s="163">
        <f>PRODUCT(Лист1!G86,$A$283)</f>
        <v>0.3664</v>
      </c>
      <c r="E393" s="312"/>
      <c r="F393" s="245">
        <f t="shared" si="17"/>
        <v>0</v>
      </c>
    </row>
    <row r="394" spans="1:6" hidden="1" x14ac:dyDescent="0.25">
      <c r="A394" s="210" t="str">
        <f ca="1">'таланты+инициативы0,2672'!A327</f>
        <v>Тонеры для картриджей Kyocera</v>
      </c>
      <c r="B394" s="163" t="s">
        <v>84</v>
      </c>
      <c r="C394" s="324"/>
      <c r="D394" s="163">
        <f>PRODUCT(Лист1!G87,$A$283)</f>
        <v>0.3664</v>
      </c>
      <c r="E394" s="312"/>
      <c r="F394" s="245">
        <f t="shared" si="17"/>
        <v>0</v>
      </c>
    </row>
    <row r="395" spans="1:6" hidden="1" x14ac:dyDescent="0.25">
      <c r="A395" s="210" t="str">
        <f ca="1">'таланты+инициативы0,2672'!A328</f>
        <v>Комплект тонеров для цветного принтера Canon</v>
      </c>
      <c r="B395" s="163" t="s">
        <v>84</v>
      </c>
      <c r="C395" s="324"/>
      <c r="D395" s="163">
        <f>PRODUCT(Лист1!G88,$A$283)</f>
        <v>0.3664</v>
      </c>
      <c r="E395" s="312"/>
      <c r="F395" s="245">
        <f t="shared" si="17"/>
        <v>0</v>
      </c>
    </row>
    <row r="396" spans="1:6" hidden="1" x14ac:dyDescent="0.25">
      <c r="A396" s="210" t="str">
        <f ca="1">'таланты+инициативы0,2672'!A329</f>
        <v>Комплект тонера для цветного принтера Hp</v>
      </c>
      <c r="B396" s="163" t="s">
        <v>84</v>
      </c>
      <c r="C396" s="324"/>
      <c r="D396" s="163">
        <f>PRODUCT(Лист1!G89,$A$283)</f>
        <v>0.3664</v>
      </c>
      <c r="E396" s="312"/>
      <c r="F396" s="245">
        <f t="shared" si="17"/>
        <v>0</v>
      </c>
    </row>
    <row r="397" spans="1:6" hidden="1" x14ac:dyDescent="0.25">
      <c r="A397" s="210" t="str">
        <f ca="1">'таланты+инициативы0,2672'!A330</f>
        <v>Флеш накопители  16 гб</v>
      </c>
      <c r="B397" s="163" t="s">
        <v>84</v>
      </c>
      <c r="C397" s="324"/>
      <c r="D397" s="163">
        <f>PRODUCT(Лист1!G90,$A$283)</f>
        <v>0.3664</v>
      </c>
      <c r="E397" s="312"/>
      <c r="F397" s="245">
        <f t="shared" si="17"/>
        <v>0</v>
      </c>
    </row>
    <row r="398" spans="1:6" hidden="1" x14ac:dyDescent="0.25">
      <c r="A398" s="210" t="str">
        <f ca="1">'таланты+инициативы0,2672'!A331</f>
        <v>Флеш накопители  64 гб</v>
      </c>
      <c r="B398" s="163" t="s">
        <v>84</v>
      </c>
      <c r="C398" s="324"/>
      <c r="D398" s="163">
        <f>PRODUCT(Лист1!G91,$A$283)</f>
        <v>0.3664</v>
      </c>
      <c r="E398" s="312"/>
      <c r="F398" s="245">
        <f t="shared" si="17"/>
        <v>0</v>
      </c>
    </row>
    <row r="399" spans="1:6" hidden="1" x14ac:dyDescent="0.25">
      <c r="A399" s="210" t="str">
        <f ca="1">'таланты+инициативы0,2672'!A332</f>
        <v>Обучение персонала</v>
      </c>
      <c r="B399" s="163" t="s">
        <v>84</v>
      </c>
      <c r="C399" s="324"/>
      <c r="D399" s="163">
        <f>PRODUCT(Лист1!G92,$A$283)</f>
        <v>0.3664</v>
      </c>
      <c r="E399" s="312"/>
      <c r="F399" s="245">
        <f t="shared" si="17"/>
        <v>0</v>
      </c>
    </row>
    <row r="400" spans="1:6" hidden="1" x14ac:dyDescent="0.25">
      <c r="A400" s="210" t="str">
        <f ca="1">'таланты+инициативы0,2672'!A333</f>
        <v>Переподготовка</v>
      </c>
      <c r="B400" s="163" t="s">
        <v>84</v>
      </c>
      <c r="C400" s="324"/>
      <c r="D400" s="163">
        <f>PRODUCT(Лист1!G93,$A$283)</f>
        <v>0.3664</v>
      </c>
      <c r="E400" s="312">
        <f>Лист1!H93</f>
        <v>0</v>
      </c>
      <c r="F400" s="245">
        <f t="shared" si="17"/>
        <v>0</v>
      </c>
    </row>
    <row r="401" spans="1:6" hidden="1" x14ac:dyDescent="0.25">
      <c r="A401" s="210" t="str">
        <f ca="1">'таланты+инициативы0,2672'!A334</f>
        <v>Пиломатериал</v>
      </c>
      <c r="B401" s="163" t="s">
        <v>84</v>
      </c>
      <c r="C401" s="324"/>
      <c r="D401" s="163">
        <f>PRODUCT(Лист1!G94,$A$283)</f>
        <v>0.3664</v>
      </c>
      <c r="E401" s="312">
        <f>Лист1!H94</f>
        <v>0</v>
      </c>
      <c r="F401" s="245">
        <f t="shared" si="17"/>
        <v>0</v>
      </c>
    </row>
    <row r="402" spans="1:6" hidden="1" x14ac:dyDescent="0.25">
      <c r="A402" s="210" t="str">
        <f ca="1">'таланты+инициативы0,2672'!A335</f>
        <v>Тонеры для картриджей Kyocera</v>
      </c>
      <c r="B402" s="163" t="s">
        <v>84</v>
      </c>
      <c r="C402" s="324"/>
      <c r="D402" s="163">
        <f>PRODUCT(Лист1!G95,$A$283)</f>
        <v>0.3664</v>
      </c>
      <c r="E402" s="312">
        <f>Лист1!H95</f>
        <v>0</v>
      </c>
      <c r="F402" s="245">
        <f t="shared" si="17"/>
        <v>0</v>
      </c>
    </row>
    <row r="403" spans="1:6" hidden="1" x14ac:dyDescent="0.25">
      <c r="A403" s="210" t="str">
        <f ca="1">'таланты+инициативы0,2672'!A336</f>
        <v>Комплект тонеров для цветного принтера Canon</v>
      </c>
      <c r="B403" s="163" t="s">
        <v>84</v>
      </c>
      <c r="C403" s="324"/>
      <c r="D403" s="163">
        <f>PRODUCT(Лист1!G96,$A$283)</f>
        <v>0.3664</v>
      </c>
      <c r="E403" s="312">
        <f>Лист1!H96</f>
        <v>0</v>
      </c>
      <c r="F403" s="245">
        <f t="shared" si="17"/>
        <v>0</v>
      </c>
    </row>
    <row r="404" spans="1:6" hidden="1" x14ac:dyDescent="0.25">
      <c r="A404" s="210" t="str">
        <f ca="1">'таланты+инициативы0,2672'!A337</f>
        <v>Комплект тонера для цветного принтера Hp</v>
      </c>
      <c r="B404" s="163" t="s">
        <v>84</v>
      </c>
      <c r="C404" s="324"/>
      <c r="D404" s="163">
        <f>PRODUCT(Лист1!G97,$A$283)</f>
        <v>0.3664</v>
      </c>
      <c r="E404" s="312">
        <f>Лист1!H97</f>
        <v>0</v>
      </c>
      <c r="F404" s="245">
        <f t="shared" si="17"/>
        <v>0</v>
      </c>
    </row>
    <row r="405" spans="1:6" hidden="1" x14ac:dyDescent="0.25">
      <c r="A405" s="210" t="str">
        <f ca="1">'таланты+инициативы0,2672'!A338</f>
        <v>Флеш накопители  16 гб</v>
      </c>
      <c r="B405" s="163" t="s">
        <v>84</v>
      </c>
      <c r="C405" s="324"/>
      <c r="D405" s="163">
        <f>PRODUCT(Лист1!G98,$A$283)</f>
        <v>0.3664</v>
      </c>
      <c r="E405" s="312">
        <f>Лист1!H98</f>
        <v>0</v>
      </c>
      <c r="F405" s="245">
        <f t="shared" si="17"/>
        <v>0</v>
      </c>
    </row>
    <row r="406" spans="1:6" hidden="1" x14ac:dyDescent="0.25">
      <c r="A406" s="210" t="str">
        <f ca="1">'таланты+инициативы0,2672'!A339</f>
        <v>Флеш накопители  64 гб</v>
      </c>
      <c r="B406" s="163" t="s">
        <v>84</v>
      </c>
      <c r="C406" s="324"/>
      <c r="D406" s="163">
        <f>PRODUCT(Лист1!G99,$A$283)</f>
        <v>0.3664</v>
      </c>
      <c r="E406" s="312">
        <f>Лист1!H99</f>
        <v>0</v>
      </c>
      <c r="F406" s="245">
        <f t="shared" si="17"/>
        <v>0</v>
      </c>
    </row>
    <row r="407" spans="1:6" hidden="1" x14ac:dyDescent="0.25">
      <c r="A407" s="210" t="str">
        <f ca="1">'таланты+инициативы0,2672'!A340</f>
        <v>Обучение персонала</v>
      </c>
      <c r="B407" s="163" t="s">
        <v>84</v>
      </c>
      <c r="C407" s="324"/>
      <c r="D407" s="163">
        <f>PRODUCT(Лист1!G100,$A$283)</f>
        <v>0.3664</v>
      </c>
      <c r="E407" s="312">
        <f>Лист1!H100</f>
        <v>0</v>
      </c>
      <c r="F407" s="245">
        <f t="shared" si="17"/>
        <v>0</v>
      </c>
    </row>
    <row r="408" spans="1:6" hidden="1" x14ac:dyDescent="0.25">
      <c r="A408" s="210" t="str">
        <f ca="1">'таланты+инициативы0,2672'!A341</f>
        <v>Переподготовка</v>
      </c>
      <c r="B408" s="163" t="s">
        <v>84</v>
      </c>
      <c r="C408" s="324"/>
      <c r="D408" s="163">
        <f>PRODUCT(Лист1!G101,$A$283)</f>
        <v>0.3664</v>
      </c>
      <c r="E408" s="312">
        <f>Лист1!H101</f>
        <v>0</v>
      </c>
      <c r="F408" s="245">
        <f t="shared" si="17"/>
        <v>0</v>
      </c>
    </row>
    <row r="409" spans="1:6" hidden="1" x14ac:dyDescent="0.25">
      <c r="A409" s="210" t="str">
        <f ca="1">'таланты+инициативы0,2672'!A342</f>
        <v>Пиломатериал</v>
      </c>
      <c r="B409" s="163" t="s">
        <v>84</v>
      </c>
      <c r="C409" s="324"/>
      <c r="D409" s="163">
        <f>PRODUCT(Лист1!G102,$A$283)</f>
        <v>0.3664</v>
      </c>
      <c r="E409" s="312">
        <f>Лист1!H102</f>
        <v>0</v>
      </c>
      <c r="F409" s="245">
        <f t="shared" si="17"/>
        <v>0</v>
      </c>
    </row>
    <row r="410" spans="1:6" hidden="1" x14ac:dyDescent="0.25">
      <c r="A410" s="210" t="str">
        <f ca="1">'таланты+инициативы0,2672'!A343</f>
        <v>Тонеры для картриджей Kyocera</v>
      </c>
      <c r="B410" s="163" t="s">
        <v>84</v>
      </c>
      <c r="C410" s="324"/>
      <c r="D410" s="163">
        <f>PRODUCT(Лист1!G103,$A$283)</f>
        <v>0.3664</v>
      </c>
      <c r="E410" s="312">
        <f>Лист1!H103</f>
        <v>0</v>
      </c>
      <c r="F410" s="245">
        <f t="shared" si="17"/>
        <v>0</v>
      </c>
    </row>
    <row r="411" spans="1:6" hidden="1" x14ac:dyDescent="0.25">
      <c r="A411" s="210" t="str">
        <f ca="1">'таланты+инициативы0,2672'!A344</f>
        <v>Комплект тонеров для цветного принтера Canon</v>
      </c>
      <c r="B411" s="163" t="s">
        <v>84</v>
      </c>
      <c r="C411" s="324"/>
      <c r="D411" s="163">
        <f>PRODUCT(Лист1!G104,$A$283)</f>
        <v>0.3664</v>
      </c>
      <c r="E411" s="312">
        <f>Лист1!H104</f>
        <v>0</v>
      </c>
      <c r="F411" s="245">
        <f t="shared" si="17"/>
        <v>0</v>
      </c>
    </row>
    <row r="412" spans="1:6" hidden="1" x14ac:dyDescent="0.25">
      <c r="A412" s="210" t="str">
        <f ca="1">'таланты+инициативы0,2672'!A345</f>
        <v>Комплект тонера для цветного принтера Hp</v>
      </c>
      <c r="B412" s="163" t="s">
        <v>84</v>
      </c>
      <c r="C412" s="324"/>
      <c r="D412" s="163">
        <f>PRODUCT(Лист1!G105,$A$283)</f>
        <v>0.3664</v>
      </c>
      <c r="E412" s="312">
        <f>Лист1!H105</f>
        <v>0</v>
      </c>
      <c r="F412" s="245">
        <f t="shared" si="17"/>
        <v>0</v>
      </c>
    </row>
    <row r="413" spans="1:6" hidden="1" x14ac:dyDescent="0.25">
      <c r="A413" s="210" t="str">
        <f ca="1">'таланты+инициативы0,2672'!A346</f>
        <v>Флеш накопители  16 гб</v>
      </c>
      <c r="B413" s="163" t="s">
        <v>84</v>
      </c>
      <c r="C413" s="324"/>
      <c r="D413" s="163">
        <f>PRODUCT(Лист1!G106,$A$283)</f>
        <v>0.3664</v>
      </c>
      <c r="E413" s="312">
        <f>Лист1!H106</f>
        <v>0</v>
      </c>
      <c r="F413" s="245">
        <f t="shared" si="17"/>
        <v>0</v>
      </c>
    </row>
    <row r="414" spans="1:6" hidden="1" x14ac:dyDescent="0.25">
      <c r="A414" s="210" t="str">
        <f ca="1">'таланты+инициативы0,2672'!A347</f>
        <v>Флеш накопители  64 гб</v>
      </c>
      <c r="B414" s="163" t="s">
        <v>84</v>
      </c>
      <c r="C414" s="324"/>
      <c r="D414" s="163">
        <f>PRODUCT(Лист1!G107,$A$283)</f>
        <v>0.3664</v>
      </c>
      <c r="E414" s="312">
        <f>Лист1!H107</f>
        <v>0</v>
      </c>
      <c r="F414" s="245">
        <f t="shared" si="17"/>
        <v>0</v>
      </c>
    </row>
    <row r="415" spans="1:6" hidden="1" x14ac:dyDescent="0.25">
      <c r="A415" s="210" t="str">
        <f ca="1">'таланты+инициативы0,2672'!A348</f>
        <v>Обучение персонала</v>
      </c>
      <c r="B415" s="163" t="s">
        <v>84</v>
      </c>
      <c r="C415" s="324"/>
      <c r="D415" s="163">
        <f>PRODUCT(Лист1!G108,$A$283)</f>
        <v>0.3664</v>
      </c>
      <c r="E415" s="312">
        <f>Лист1!H108</f>
        <v>0</v>
      </c>
      <c r="F415" s="245">
        <f t="shared" si="17"/>
        <v>0</v>
      </c>
    </row>
    <row r="416" spans="1:6" hidden="1" x14ac:dyDescent="0.25">
      <c r="A416" s="210" t="str">
        <f ca="1">'таланты+инициативы0,2672'!A349</f>
        <v>Переподготовка</v>
      </c>
      <c r="B416" s="163" t="s">
        <v>84</v>
      </c>
      <c r="C416" s="324"/>
      <c r="D416" s="163">
        <f>PRODUCT(Лист1!G109,$A$283)</f>
        <v>0.3664</v>
      </c>
      <c r="E416" s="312">
        <f>Лист1!H109</f>
        <v>0</v>
      </c>
      <c r="F416" s="245">
        <f t="shared" si="17"/>
        <v>0</v>
      </c>
    </row>
    <row r="417" spans="1:6" hidden="1" x14ac:dyDescent="0.25">
      <c r="A417" s="210" t="str">
        <f ca="1">'таланты+инициативы0,2672'!A350</f>
        <v>Пиломатериал</v>
      </c>
      <c r="B417" s="163" t="s">
        <v>84</v>
      </c>
      <c r="C417" s="324"/>
      <c r="D417" s="163">
        <f>PRODUCT(Лист1!G110,$A$283)</f>
        <v>0.3664</v>
      </c>
      <c r="E417" s="312">
        <f>Лист1!H110</f>
        <v>0</v>
      </c>
      <c r="F417" s="245">
        <f t="shared" si="17"/>
        <v>0</v>
      </c>
    </row>
    <row r="418" spans="1:6" hidden="1" x14ac:dyDescent="0.25">
      <c r="A418" s="210" t="str">
        <f ca="1">'таланты+инициативы0,2672'!A351</f>
        <v>Тонеры для картриджей Kyocera</v>
      </c>
      <c r="B418" s="163" t="s">
        <v>84</v>
      </c>
      <c r="C418" s="324"/>
      <c r="D418" s="163">
        <f>PRODUCT(Лист1!G111,$A$283)</f>
        <v>0.3664</v>
      </c>
      <c r="E418" s="312">
        <f>Лист1!H111</f>
        <v>0</v>
      </c>
      <c r="F418" s="245">
        <f t="shared" si="17"/>
        <v>0</v>
      </c>
    </row>
    <row r="419" spans="1:6" hidden="1" x14ac:dyDescent="0.25">
      <c r="A419" s="210" t="str">
        <f ca="1">'таланты+инициативы0,2672'!A352</f>
        <v>Комплект тонеров для цветного принтера Canon</v>
      </c>
      <c r="B419" s="163" t="s">
        <v>84</v>
      </c>
      <c r="C419" s="324"/>
      <c r="D419" s="163">
        <f>PRODUCT(Лист1!G112,$A$283)</f>
        <v>0.3664</v>
      </c>
      <c r="E419" s="312">
        <f>Лист1!H112</f>
        <v>0</v>
      </c>
      <c r="F419" s="245">
        <f t="shared" si="17"/>
        <v>0</v>
      </c>
    </row>
    <row r="420" spans="1:6" hidden="1" x14ac:dyDescent="0.25">
      <c r="A420" s="210" t="str">
        <f ca="1">'таланты+инициативы0,2672'!A353</f>
        <v>Комплект тонера для цветного принтера Hp</v>
      </c>
      <c r="B420" s="163" t="s">
        <v>84</v>
      </c>
      <c r="C420" s="324"/>
      <c r="D420" s="163">
        <f>PRODUCT(Лист1!G113,$A$283)</f>
        <v>0.3664</v>
      </c>
      <c r="E420" s="312">
        <f>Лист1!H113</f>
        <v>0</v>
      </c>
      <c r="F420" s="245">
        <f t="shared" si="17"/>
        <v>0</v>
      </c>
    </row>
    <row r="421" spans="1:6" hidden="1" x14ac:dyDescent="0.25">
      <c r="A421" s="210" t="str">
        <f ca="1">'таланты+инициативы0,2672'!A354</f>
        <v>Флеш накопители  16 гб</v>
      </c>
      <c r="B421" s="163" t="s">
        <v>84</v>
      </c>
      <c r="C421" s="324"/>
      <c r="D421" s="163">
        <f>PRODUCT(Лист1!G114,$A$283)</f>
        <v>0.3664</v>
      </c>
      <c r="E421" s="312">
        <f>Лист1!H114</f>
        <v>0</v>
      </c>
      <c r="F421" s="245">
        <f t="shared" si="17"/>
        <v>0</v>
      </c>
    </row>
    <row r="422" spans="1:6" hidden="1" x14ac:dyDescent="0.25">
      <c r="A422" s="210" t="str">
        <f ca="1">'таланты+инициативы0,2672'!A355</f>
        <v>Флеш накопители  64 гб</v>
      </c>
      <c r="B422" s="163" t="s">
        <v>84</v>
      </c>
      <c r="C422" s="324"/>
      <c r="D422" s="163">
        <f>PRODUCT(Лист1!G115,$A$283)</f>
        <v>0.3664</v>
      </c>
      <c r="E422" s="312">
        <f>Лист1!H115</f>
        <v>0</v>
      </c>
      <c r="F422" s="245">
        <f t="shared" si="17"/>
        <v>0</v>
      </c>
    </row>
    <row r="423" spans="1:6" hidden="1" x14ac:dyDescent="0.25">
      <c r="A423" s="210" t="str">
        <f ca="1">'таланты+инициативы0,2672'!A356</f>
        <v>Обучение персонала</v>
      </c>
      <c r="B423" s="163" t="s">
        <v>84</v>
      </c>
      <c r="C423" s="324"/>
      <c r="D423" s="163">
        <f>PRODUCT(Лист1!G116,$A$283)</f>
        <v>0.3664</v>
      </c>
      <c r="E423" s="312">
        <f>Лист1!H116</f>
        <v>0</v>
      </c>
      <c r="F423" s="245">
        <f t="shared" si="17"/>
        <v>0</v>
      </c>
    </row>
    <row r="424" spans="1:6" hidden="1" x14ac:dyDescent="0.25">
      <c r="A424" s="210" t="str">
        <f ca="1">'таланты+инициативы0,2672'!A357</f>
        <v>Переподготовка</v>
      </c>
      <c r="B424" s="163" t="s">
        <v>84</v>
      </c>
      <c r="C424" s="324"/>
      <c r="D424" s="163">
        <f>PRODUCT(Лист1!G117,$A$283)</f>
        <v>0.3664</v>
      </c>
      <c r="E424" s="312">
        <f>Лист1!H117</f>
        <v>0</v>
      </c>
      <c r="F424" s="245">
        <f t="shared" si="17"/>
        <v>0</v>
      </c>
    </row>
    <row r="425" spans="1:6" hidden="1" x14ac:dyDescent="0.25">
      <c r="A425" s="210" t="str">
        <f ca="1">'таланты+инициативы0,2672'!A358</f>
        <v>Пиломатериал</v>
      </c>
      <c r="B425" s="163" t="s">
        <v>84</v>
      </c>
      <c r="C425" s="324"/>
      <c r="D425" s="163">
        <f>PRODUCT(Лист1!G118,$A$283)</f>
        <v>0.3664</v>
      </c>
      <c r="E425" s="312">
        <f>Лист1!H118</f>
        <v>0</v>
      </c>
      <c r="F425" s="245">
        <f t="shared" si="17"/>
        <v>0</v>
      </c>
    </row>
    <row r="426" spans="1:6" hidden="1" x14ac:dyDescent="0.25">
      <c r="A426" s="210" t="str">
        <f ca="1">'таланты+инициативы0,2672'!A359</f>
        <v>Тонеры для картриджей Kyocera</v>
      </c>
      <c r="B426" s="163" t="s">
        <v>84</v>
      </c>
      <c r="C426" s="324"/>
      <c r="D426" s="163">
        <f>PRODUCT(Лист1!G119,$A$283)</f>
        <v>0.3664</v>
      </c>
      <c r="E426" s="312">
        <f>Лист1!H119</f>
        <v>0</v>
      </c>
      <c r="F426" s="245">
        <f t="shared" si="17"/>
        <v>0</v>
      </c>
    </row>
    <row r="427" spans="1:6" hidden="1" x14ac:dyDescent="0.25">
      <c r="A427" s="210" t="str">
        <f ca="1">'таланты+инициативы0,2672'!A360</f>
        <v>Комплект тонеров для цветного принтера Canon</v>
      </c>
      <c r="B427" s="163" t="s">
        <v>84</v>
      </c>
      <c r="C427" s="324"/>
      <c r="D427" s="163">
        <f>PRODUCT(Лист1!G120,$A$283)</f>
        <v>0.3664</v>
      </c>
      <c r="E427" s="312">
        <f>Лист1!H120</f>
        <v>0</v>
      </c>
      <c r="F427" s="245">
        <f t="shared" si="17"/>
        <v>0</v>
      </c>
    </row>
    <row r="428" spans="1:6" hidden="1" x14ac:dyDescent="0.25">
      <c r="A428" s="210" t="str">
        <f ca="1">'таланты+инициативы0,2672'!A361</f>
        <v>Комплект тонера для цветного принтера Hp</v>
      </c>
      <c r="B428" s="163" t="s">
        <v>84</v>
      </c>
      <c r="C428" s="324"/>
      <c r="D428" s="163">
        <f>PRODUCT(Лист1!G121,$A$283)</f>
        <v>0.3664</v>
      </c>
      <c r="E428" s="312">
        <f>Лист1!H121</f>
        <v>0</v>
      </c>
      <c r="F428" s="245">
        <f t="shared" si="17"/>
        <v>0</v>
      </c>
    </row>
    <row r="429" spans="1:6" hidden="1" x14ac:dyDescent="0.25">
      <c r="A429" s="210" t="str">
        <f ca="1">'таланты+инициативы0,2672'!A362</f>
        <v>Флеш накопители  16 гб</v>
      </c>
      <c r="B429" s="163" t="s">
        <v>84</v>
      </c>
      <c r="C429" s="324"/>
      <c r="D429" s="163">
        <f>PRODUCT(Лист1!G122,$A$283)</f>
        <v>0.3664</v>
      </c>
      <c r="E429" s="312">
        <f>Лист1!H122</f>
        <v>0</v>
      </c>
      <c r="F429" s="245">
        <f t="shared" si="17"/>
        <v>0</v>
      </c>
    </row>
    <row r="430" spans="1:6" hidden="1" x14ac:dyDescent="0.25">
      <c r="A430" s="210" t="str">
        <f ca="1">'таланты+инициативы0,2672'!A363</f>
        <v>Флеш накопители  64 гб</v>
      </c>
      <c r="B430" s="163" t="s">
        <v>84</v>
      </c>
      <c r="C430" s="340"/>
      <c r="D430" s="163">
        <f>PRODUCT(Лист1!G123,$A$283)</f>
        <v>0.3664</v>
      </c>
      <c r="E430" s="312">
        <f>Лист1!H123</f>
        <v>0</v>
      </c>
      <c r="F430" s="245">
        <f t="shared" si="17"/>
        <v>0</v>
      </c>
    </row>
    <row r="431" spans="1:6" hidden="1" x14ac:dyDescent="0.25">
      <c r="A431" s="210" t="str">
        <f ca="1">'таланты+инициативы0,2672'!A364</f>
        <v>Обучение персонала</v>
      </c>
      <c r="B431" s="163" t="s">
        <v>84</v>
      </c>
      <c r="C431" s="340"/>
      <c r="D431" s="163">
        <f>PRODUCT(Лист1!G124,$A$283)</f>
        <v>0.3664</v>
      </c>
      <c r="E431" s="312">
        <f>Лист1!H124</f>
        <v>0</v>
      </c>
      <c r="F431" s="245">
        <f t="shared" si="17"/>
        <v>0</v>
      </c>
    </row>
    <row r="432" spans="1:6" hidden="1" x14ac:dyDescent="0.25">
      <c r="A432" s="210" t="str">
        <f ca="1">'таланты+инициативы0,2672'!A365</f>
        <v>Переподготовка</v>
      </c>
      <c r="B432" s="163" t="s">
        <v>84</v>
      </c>
      <c r="C432" s="340"/>
      <c r="D432" s="163">
        <f>PRODUCT(Лист1!G125,$A$283)</f>
        <v>0.3664</v>
      </c>
      <c r="E432" s="312">
        <f>Лист1!H125</f>
        <v>0</v>
      </c>
      <c r="F432" s="245">
        <f t="shared" si="17"/>
        <v>0</v>
      </c>
    </row>
    <row r="433" spans="1:6" hidden="1" x14ac:dyDescent="0.25">
      <c r="A433" s="210" t="str">
        <f ca="1">'таланты+инициативы0,2672'!A366</f>
        <v>Пиломатериал</v>
      </c>
      <c r="B433" s="163" t="s">
        <v>84</v>
      </c>
      <c r="C433" s="340"/>
      <c r="D433" s="163">
        <f>PRODUCT(Лист1!G126,$A$283)</f>
        <v>0.3664</v>
      </c>
      <c r="E433" s="312">
        <f>Лист1!H126</f>
        <v>0</v>
      </c>
      <c r="F433" s="245">
        <f t="shared" si="17"/>
        <v>0</v>
      </c>
    </row>
    <row r="434" spans="1:6" hidden="1" x14ac:dyDescent="0.25">
      <c r="A434" s="210" t="str">
        <f ca="1">'таланты+инициативы0,2672'!A367</f>
        <v>Тонеры для картриджей Kyocera</v>
      </c>
      <c r="B434" s="163" t="s">
        <v>84</v>
      </c>
      <c r="C434" s="340"/>
      <c r="D434" s="163">
        <f>PRODUCT(Лист1!G127,$A$283)</f>
        <v>0.3664</v>
      </c>
      <c r="E434" s="312">
        <f>Лист1!H127</f>
        <v>0</v>
      </c>
      <c r="F434" s="245">
        <f t="shared" si="17"/>
        <v>0</v>
      </c>
    </row>
    <row r="435" spans="1:6" hidden="1" x14ac:dyDescent="0.25">
      <c r="A435" s="210" t="str">
        <f ca="1">'таланты+инициативы0,2672'!A368</f>
        <v>Комплект тонеров для цветного принтера Canon</v>
      </c>
      <c r="B435" s="163" t="s">
        <v>84</v>
      </c>
      <c r="C435" s="340"/>
      <c r="D435" s="163">
        <f>PRODUCT(Лист1!G128,$A$283)</f>
        <v>0.3664</v>
      </c>
      <c r="E435" s="312">
        <f>Лист1!H128</f>
        <v>0</v>
      </c>
      <c r="F435" s="245">
        <f t="shared" si="17"/>
        <v>0</v>
      </c>
    </row>
    <row r="436" spans="1:6" hidden="1" x14ac:dyDescent="0.25">
      <c r="A436" s="210" t="str">
        <f ca="1">'таланты+инициативы0,2672'!A369</f>
        <v>Комплект тонера для цветного принтера Hp</v>
      </c>
      <c r="B436" s="163" t="s">
        <v>84</v>
      </c>
      <c r="C436" s="340"/>
      <c r="D436" s="163">
        <f>PRODUCT(Лист1!G129,$A$283)</f>
        <v>0.3664</v>
      </c>
      <c r="E436" s="312">
        <f>Лист1!H129</f>
        <v>0</v>
      </c>
      <c r="F436" s="245">
        <f t="shared" si="17"/>
        <v>0</v>
      </c>
    </row>
    <row r="437" spans="1:6" hidden="1" x14ac:dyDescent="0.25">
      <c r="A437" s="210" t="str">
        <f ca="1">'таланты+инициативы0,2672'!A370</f>
        <v>Флеш накопители  16 гб</v>
      </c>
      <c r="B437" s="163" t="s">
        <v>84</v>
      </c>
      <c r="C437" s="340"/>
      <c r="D437" s="163">
        <f>PRODUCT(Лист1!G130,$A$283)</f>
        <v>0.3664</v>
      </c>
      <c r="E437" s="312">
        <f>Лист1!H130</f>
        <v>0</v>
      </c>
      <c r="F437" s="245">
        <f t="shared" si="17"/>
        <v>0</v>
      </c>
    </row>
    <row r="438" spans="1:6" hidden="1" x14ac:dyDescent="0.25">
      <c r="A438" s="210" t="str">
        <f ca="1">'таланты+инициативы0,2672'!A371</f>
        <v>Флеш накопители  64 гб</v>
      </c>
      <c r="B438" s="163" t="s">
        <v>84</v>
      </c>
      <c r="C438" s="340"/>
      <c r="D438" s="163">
        <f>PRODUCT(Лист1!G131,$A$283)</f>
        <v>0.3664</v>
      </c>
      <c r="E438" s="312">
        <f>Лист1!H131</f>
        <v>0</v>
      </c>
      <c r="F438" s="245">
        <f t="shared" si="17"/>
        <v>0</v>
      </c>
    </row>
    <row r="439" spans="1:6" hidden="1" x14ac:dyDescent="0.25">
      <c r="A439" s="210" t="str">
        <f ca="1">'таланты+инициативы0,2672'!A372</f>
        <v>Обучение персонала</v>
      </c>
      <c r="B439" s="163" t="s">
        <v>84</v>
      </c>
      <c r="C439" s="340"/>
      <c r="D439" s="163">
        <f>PRODUCT(Лист1!G132,$A$283)</f>
        <v>0.3664</v>
      </c>
      <c r="E439" s="312">
        <f>Лист1!H132</f>
        <v>0</v>
      </c>
      <c r="F439" s="245">
        <f t="shared" si="17"/>
        <v>0</v>
      </c>
    </row>
    <row r="440" spans="1:6" hidden="1" x14ac:dyDescent="0.25">
      <c r="A440" s="210" t="str">
        <f ca="1">'таланты+инициативы0,2672'!A373</f>
        <v>Переподготовка</v>
      </c>
      <c r="B440" s="163" t="s">
        <v>84</v>
      </c>
      <c r="C440" s="340"/>
      <c r="D440" s="163">
        <f>PRODUCT(Лист1!G133,$A$283)</f>
        <v>0.3664</v>
      </c>
      <c r="E440" s="312">
        <f>Лист1!H133</f>
        <v>0</v>
      </c>
      <c r="F440" s="245">
        <f t="shared" si="17"/>
        <v>0</v>
      </c>
    </row>
    <row r="441" spans="1:6" hidden="1" x14ac:dyDescent="0.25">
      <c r="A441" s="210" t="str">
        <f ca="1">'таланты+инициативы0,2672'!A374</f>
        <v>Пиломатериал</v>
      </c>
      <c r="B441" s="163" t="s">
        <v>84</v>
      </c>
      <c r="C441" s="340"/>
      <c r="D441" s="163">
        <f>PRODUCT(Лист1!G134,$A$283)</f>
        <v>0.3664</v>
      </c>
      <c r="E441" s="312">
        <f>Лист1!H134</f>
        <v>0</v>
      </c>
      <c r="F441" s="245">
        <f t="shared" si="17"/>
        <v>0</v>
      </c>
    </row>
    <row r="442" spans="1:6" hidden="1" x14ac:dyDescent="0.25">
      <c r="A442" s="210" t="str">
        <f ca="1">'таланты+инициативы0,2672'!A375</f>
        <v>Тонеры для картриджей Kyocera</v>
      </c>
      <c r="B442" s="163" t="s">
        <v>84</v>
      </c>
      <c r="C442" s="340"/>
      <c r="D442" s="163">
        <f>PRODUCT(Лист1!G135,$A$283)</f>
        <v>0.3664</v>
      </c>
      <c r="E442" s="312">
        <f>Лист1!H135</f>
        <v>0</v>
      </c>
      <c r="F442" s="245">
        <f t="shared" si="17"/>
        <v>0</v>
      </c>
    </row>
    <row r="443" spans="1:6" hidden="1" x14ac:dyDescent="0.25">
      <c r="A443" s="210" t="str">
        <f ca="1">'таланты+инициативы0,2672'!A376</f>
        <v>Комплект тонеров для цветного принтера Canon</v>
      </c>
      <c r="B443" s="163" t="s">
        <v>84</v>
      </c>
      <c r="C443" s="340"/>
      <c r="D443" s="163">
        <f>PRODUCT(Лист1!G136,$A$283)</f>
        <v>0.3664</v>
      </c>
      <c r="E443" s="312">
        <f>Лист1!H136</f>
        <v>0</v>
      </c>
      <c r="F443" s="245">
        <f t="shared" si="17"/>
        <v>0</v>
      </c>
    </row>
    <row r="444" spans="1:6" hidden="1" x14ac:dyDescent="0.25">
      <c r="A444" s="210" t="str">
        <f ca="1">'таланты+инициативы0,2672'!A377</f>
        <v>Комплект тонера для цветного принтера Hp</v>
      </c>
      <c r="B444" s="163" t="s">
        <v>84</v>
      </c>
      <c r="C444" s="340"/>
      <c r="D444" s="163">
        <f>PRODUCT(Лист1!G137,$A$283)</f>
        <v>0.3664</v>
      </c>
      <c r="E444" s="312">
        <f>Лист1!H137</f>
        <v>0</v>
      </c>
      <c r="F444" s="245">
        <f t="shared" si="17"/>
        <v>0</v>
      </c>
    </row>
    <row r="445" spans="1:6" hidden="1" x14ac:dyDescent="0.25">
      <c r="A445" s="210" t="str">
        <f ca="1">'таланты+инициативы0,2672'!A378</f>
        <v>Флеш накопители  16 гб</v>
      </c>
      <c r="B445" s="163" t="s">
        <v>84</v>
      </c>
      <c r="C445" s="315"/>
      <c r="D445" s="163">
        <f>PRODUCT(Лист1!G138,$A$283)</f>
        <v>0.3664</v>
      </c>
      <c r="E445" s="312">
        <f>Лист1!H138</f>
        <v>0</v>
      </c>
      <c r="F445" s="245">
        <f t="shared" si="17"/>
        <v>0</v>
      </c>
    </row>
    <row r="446" spans="1:6" hidden="1" x14ac:dyDescent="0.25">
      <c r="A446" s="210" t="str">
        <f ca="1">'таланты+инициативы0,2672'!A379</f>
        <v>Флеш накопители  64 гб</v>
      </c>
      <c r="B446" s="163" t="s">
        <v>84</v>
      </c>
      <c r="C446" s="315"/>
      <c r="D446" s="163">
        <f>PRODUCT(Лист1!G139,$A$283)</f>
        <v>0.3664</v>
      </c>
      <c r="E446" s="312">
        <f>Лист1!H139</f>
        <v>0</v>
      </c>
      <c r="F446" s="245">
        <f t="shared" si="17"/>
        <v>0</v>
      </c>
    </row>
    <row r="447" spans="1:6" hidden="1" x14ac:dyDescent="0.25">
      <c r="A447" s="210" t="str">
        <f ca="1">'таланты+инициативы0,2672'!A380</f>
        <v>Обучение персонала</v>
      </c>
      <c r="B447" s="163" t="s">
        <v>84</v>
      </c>
      <c r="C447" s="315"/>
      <c r="D447" s="163">
        <f>PRODUCT(Лист1!G140,$A$283)</f>
        <v>0.3664</v>
      </c>
      <c r="E447" s="312">
        <f>Лист1!H140</f>
        <v>0</v>
      </c>
      <c r="F447" s="245">
        <f t="shared" si="17"/>
        <v>0</v>
      </c>
    </row>
    <row r="448" spans="1:6" hidden="1" x14ac:dyDescent="0.25">
      <c r="A448" s="210" t="str">
        <f ca="1">'таланты+инициативы0,2672'!A381</f>
        <v>Переподготовка</v>
      </c>
      <c r="B448" s="163" t="s">
        <v>84</v>
      </c>
      <c r="C448" s="315"/>
      <c r="D448" s="163">
        <f>PRODUCT(Лист1!G141,$A$283)</f>
        <v>0.3664</v>
      </c>
      <c r="E448" s="312">
        <f>Лист1!H141</f>
        <v>0</v>
      </c>
      <c r="F448" s="245">
        <f t="shared" si="17"/>
        <v>0</v>
      </c>
    </row>
    <row r="449" spans="1:6" hidden="1" x14ac:dyDescent="0.25">
      <c r="A449" s="210" t="str">
        <f ca="1">'таланты+инициативы0,2672'!A382</f>
        <v>Пиломатериал</v>
      </c>
      <c r="B449" s="163" t="s">
        <v>84</v>
      </c>
      <c r="C449" s="315"/>
      <c r="D449" s="163">
        <f>PRODUCT(Лист1!G142,$A$283)</f>
        <v>0.3664</v>
      </c>
      <c r="E449" s="312">
        <f>Лист1!H142</f>
        <v>0</v>
      </c>
      <c r="F449" s="245">
        <f t="shared" si="17"/>
        <v>0</v>
      </c>
    </row>
    <row r="450" spans="1:6" hidden="1" x14ac:dyDescent="0.25">
      <c r="A450" s="210" t="str">
        <f ca="1">'таланты+инициативы0,2672'!A383</f>
        <v>Тонеры для картриджей Kyocera</v>
      </c>
      <c r="B450" s="163" t="s">
        <v>84</v>
      </c>
      <c r="C450" s="315"/>
      <c r="D450" s="163">
        <f>PRODUCT(Лист1!G143,$A$283)</f>
        <v>0.3664</v>
      </c>
      <c r="E450" s="312">
        <f>Лист1!H143</f>
        <v>0</v>
      </c>
      <c r="F450" s="245">
        <f t="shared" si="17"/>
        <v>0</v>
      </c>
    </row>
    <row r="451" spans="1:6" hidden="1" x14ac:dyDescent="0.25">
      <c r="A451" s="210" t="str">
        <f ca="1">'таланты+инициативы0,2672'!A384</f>
        <v>Комплект тонеров для цветного принтера Canon</v>
      </c>
      <c r="B451" s="163" t="s">
        <v>84</v>
      </c>
      <c r="C451" s="315"/>
      <c r="D451" s="163">
        <f>PRODUCT(Лист1!G144,$A$283)</f>
        <v>0.3664</v>
      </c>
      <c r="E451" s="312">
        <f>Лист1!H144</f>
        <v>0</v>
      </c>
      <c r="F451" s="245">
        <f t="shared" si="17"/>
        <v>0</v>
      </c>
    </row>
    <row r="452" spans="1:6" hidden="1" x14ac:dyDescent="0.25">
      <c r="A452" s="210" t="str">
        <f ca="1">'таланты+инициативы0,2672'!A385</f>
        <v>Комплект тонера для цветного принтера Hp</v>
      </c>
      <c r="B452" s="163" t="s">
        <v>84</v>
      </c>
      <c r="C452" s="315"/>
      <c r="D452" s="163">
        <f>PRODUCT(Лист1!G145,$A$283)</f>
        <v>0.3664</v>
      </c>
      <c r="E452" s="312">
        <f>Лист1!H145</f>
        <v>0</v>
      </c>
      <c r="F452" s="245">
        <f t="shared" si="17"/>
        <v>0</v>
      </c>
    </row>
    <row r="453" spans="1:6" hidden="1" x14ac:dyDescent="0.25">
      <c r="A453" s="210" t="str">
        <f ca="1">'таланты+инициативы0,2672'!A386</f>
        <v>Флеш накопители  16 гб</v>
      </c>
      <c r="B453" s="163" t="s">
        <v>84</v>
      </c>
      <c r="C453" s="315"/>
      <c r="D453" s="163">
        <f>PRODUCT(Лист1!G146,$A$283)</f>
        <v>0.3664</v>
      </c>
      <c r="E453" s="312">
        <f>Лист1!H146</f>
        <v>0</v>
      </c>
      <c r="F453" s="245">
        <f t="shared" si="17"/>
        <v>0</v>
      </c>
    </row>
    <row r="454" spans="1:6" hidden="1" x14ac:dyDescent="0.25">
      <c r="A454" s="210" t="str">
        <f ca="1">'таланты+инициативы0,2672'!A387</f>
        <v>Флеш накопители  64 гб</v>
      </c>
      <c r="B454" s="163" t="s">
        <v>84</v>
      </c>
      <c r="C454" s="315"/>
      <c r="D454" s="163">
        <f>PRODUCT(Лист1!G147,$A$283)</f>
        <v>0.3664</v>
      </c>
      <c r="E454" s="312">
        <f>Лист1!H147</f>
        <v>0</v>
      </c>
      <c r="F454" s="245">
        <f t="shared" si="17"/>
        <v>0</v>
      </c>
    </row>
    <row r="455" spans="1:6" hidden="1" x14ac:dyDescent="0.25">
      <c r="A455" s="210" t="str">
        <f ca="1">'таланты+инициативы0,2672'!A388</f>
        <v>Обучение персонала</v>
      </c>
      <c r="B455" s="163" t="s">
        <v>84</v>
      </c>
      <c r="C455" s="315"/>
      <c r="D455" s="163">
        <f>PRODUCT(Лист1!G148,$A$283)</f>
        <v>0.3664</v>
      </c>
      <c r="E455" s="312">
        <f>Лист1!H148</f>
        <v>0</v>
      </c>
      <c r="F455" s="245">
        <f t="shared" ref="F455:F525" si="18">D455*E455</f>
        <v>0</v>
      </c>
    </row>
    <row r="456" spans="1:6" hidden="1" x14ac:dyDescent="0.25">
      <c r="A456" s="210" t="str">
        <f ca="1">'таланты+инициативы0,2672'!A389</f>
        <v>Переподготовка</v>
      </c>
      <c r="B456" s="163" t="s">
        <v>84</v>
      </c>
      <c r="C456" s="315"/>
      <c r="D456" s="163">
        <f>PRODUCT(Лист1!G149,$A$283)</f>
        <v>0.3664</v>
      </c>
      <c r="E456" s="312">
        <f>Лист1!H149</f>
        <v>0</v>
      </c>
      <c r="F456" s="245">
        <f t="shared" si="18"/>
        <v>0</v>
      </c>
    </row>
    <row r="457" spans="1:6" hidden="1" x14ac:dyDescent="0.25">
      <c r="A457" s="210" t="str">
        <f ca="1">'таланты+инициативы0,2672'!A390</f>
        <v>Пиломатериал</v>
      </c>
      <c r="B457" s="163" t="s">
        <v>84</v>
      </c>
      <c r="C457" s="315"/>
      <c r="D457" s="163">
        <f>PRODUCT(Лист1!G150,$A$283)</f>
        <v>0.3664</v>
      </c>
      <c r="E457" s="312">
        <f>Лист1!H150</f>
        <v>0</v>
      </c>
      <c r="F457" s="245">
        <f t="shared" si="18"/>
        <v>0</v>
      </c>
    </row>
    <row r="458" spans="1:6" hidden="1" x14ac:dyDescent="0.25">
      <c r="A458" s="210" t="str">
        <f ca="1">'таланты+инициативы0,2672'!A391</f>
        <v>Тонеры для картриджей Kyocera</v>
      </c>
      <c r="B458" s="163" t="s">
        <v>84</v>
      </c>
      <c r="C458" s="315"/>
      <c r="D458" s="163">
        <f>PRODUCT(Лист1!G151,$A$283)</f>
        <v>0.3664</v>
      </c>
      <c r="E458" s="312">
        <f>Лист1!H151</f>
        <v>0</v>
      </c>
      <c r="F458" s="245">
        <f t="shared" si="18"/>
        <v>0</v>
      </c>
    </row>
    <row r="459" spans="1:6" hidden="1" x14ac:dyDescent="0.25">
      <c r="A459" s="210" t="str">
        <f ca="1">'таланты+инициативы0,2672'!A392</f>
        <v>Комплект тонеров для цветного принтера Canon</v>
      </c>
      <c r="B459" s="163" t="s">
        <v>84</v>
      </c>
      <c r="C459" s="315"/>
      <c r="D459" s="163">
        <f>PRODUCT(Лист1!G152,$A$283)</f>
        <v>0.3664</v>
      </c>
      <c r="E459" s="312">
        <f>Лист1!H152</f>
        <v>0</v>
      </c>
      <c r="F459" s="245">
        <f t="shared" si="18"/>
        <v>0</v>
      </c>
    </row>
    <row r="460" spans="1:6" hidden="1" x14ac:dyDescent="0.25">
      <c r="A460" s="210" t="str">
        <f ca="1">'таланты+инициативы0,2672'!A393</f>
        <v>Комплект тонера для цветного принтера Hp</v>
      </c>
      <c r="B460" s="163" t="s">
        <v>84</v>
      </c>
      <c r="C460" s="315"/>
      <c r="D460" s="163">
        <f>PRODUCT(Лист1!G153,$A$283)</f>
        <v>0.3664</v>
      </c>
      <c r="E460" s="312">
        <f>Лист1!H153</f>
        <v>0</v>
      </c>
      <c r="F460" s="245">
        <f t="shared" si="18"/>
        <v>0</v>
      </c>
    </row>
    <row r="461" spans="1:6" hidden="1" x14ac:dyDescent="0.25">
      <c r="A461" s="210" t="str">
        <f ca="1">'таланты+инициативы0,2672'!A394</f>
        <v>Флеш накопители  16 гб</v>
      </c>
      <c r="B461" s="163" t="s">
        <v>84</v>
      </c>
      <c r="C461" s="315"/>
      <c r="D461" s="163">
        <f>PRODUCT(Лист1!G154,$A$283)</f>
        <v>0.3664</v>
      </c>
      <c r="E461" s="312">
        <f>Лист1!H154</f>
        <v>0</v>
      </c>
      <c r="F461" s="245">
        <f t="shared" si="18"/>
        <v>0</v>
      </c>
    </row>
    <row r="462" spans="1:6" hidden="1" x14ac:dyDescent="0.25">
      <c r="A462" s="210" t="str">
        <f ca="1">'таланты+инициативы0,2672'!A395</f>
        <v>Флеш накопители  64 гб</v>
      </c>
      <c r="B462" s="163" t="s">
        <v>84</v>
      </c>
      <c r="C462" s="315"/>
      <c r="D462" s="163">
        <f>PRODUCT(Лист1!G155,$A$283)</f>
        <v>0.3664</v>
      </c>
      <c r="E462" s="312">
        <f>Лист1!H155</f>
        <v>0</v>
      </c>
      <c r="F462" s="245">
        <f t="shared" si="18"/>
        <v>0</v>
      </c>
    </row>
    <row r="463" spans="1:6" hidden="1" x14ac:dyDescent="0.25">
      <c r="A463" s="210" t="str">
        <f ca="1">'таланты+инициативы0,2672'!A396</f>
        <v>Обучение персонала</v>
      </c>
      <c r="B463" s="163" t="s">
        <v>84</v>
      </c>
      <c r="C463" s="315"/>
      <c r="D463" s="163">
        <f>PRODUCT(Лист1!G156,$A$283)</f>
        <v>0.3664</v>
      </c>
      <c r="E463" s="312">
        <f>Лист1!H156</f>
        <v>0</v>
      </c>
      <c r="F463" s="245">
        <f t="shared" si="18"/>
        <v>0</v>
      </c>
    </row>
    <row r="464" spans="1:6" hidden="1" x14ac:dyDescent="0.25">
      <c r="A464" s="210" t="str">
        <f ca="1">'таланты+инициативы0,2672'!A397</f>
        <v>Переподготовка</v>
      </c>
      <c r="B464" s="163" t="s">
        <v>84</v>
      </c>
      <c r="C464" s="340"/>
      <c r="D464" s="163">
        <f>PRODUCT(Лист1!G157,$A$283)</f>
        <v>0.3664</v>
      </c>
      <c r="E464" s="312">
        <f>Лист1!H157</f>
        <v>0</v>
      </c>
      <c r="F464" s="245">
        <f t="shared" si="18"/>
        <v>0</v>
      </c>
    </row>
    <row r="465" spans="1:6" hidden="1" x14ac:dyDescent="0.25">
      <c r="A465" s="210" t="str">
        <f ca="1">'таланты+инициативы0,2672'!A398</f>
        <v>Пиломатериал</v>
      </c>
      <c r="B465" s="163" t="s">
        <v>84</v>
      </c>
      <c r="C465" s="340"/>
      <c r="D465" s="163">
        <f>PRODUCT(Лист1!G158,$A$283)</f>
        <v>0.3664</v>
      </c>
      <c r="E465" s="312">
        <f>Лист1!H158</f>
        <v>0</v>
      </c>
      <c r="F465" s="245">
        <f t="shared" si="18"/>
        <v>0</v>
      </c>
    </row>
    <row r="466" spans="1:6" hidden="1" x14ac:dyDescent="0.25">
      <c r="A466" s="210" t="str">
        <f ca="1">'таланты+инициативы0,2672'!A399</f>
        <v>Тонеры для картриджей Kyocera</v>
      </c>
      <c r="B466" s="163" t="s">
        <v>84</v>
      </c>
      <c r="C466" s="340"/>
      <c r="D466" s="163">
        <f>PRODUCT(Лист1!G159,$A$283)</f>
        <v>0.3664</v>
      </c>
      <c r="E466" s="312">
        <f>Лист1!H159</f>
        <v>0</v>
      </c>
      <c r="F466" s="245">
        <f t="shared" si="18"/>
        <v>0</v>
      </c>
    </row>
    <row r="467" spans="1:6" hidden="1" x14ac:dyDescent="0.25">
      <c r="A467" s="210" t="str">
        <f ca="1">'таланты+инициативы0,2672'!A400</f>
        <v>Комплект тонеров для цветного принтера Canon</v>
      </c>
      <c r="B467" s="163" t="s">
        <v>84</v>
      </c>
      <c r="C467" s="340"/>
      <c r="D467" s="163">
        <f>PRODUCT(Лист1!G160,$A$283)</f>
        <v>0.3664</v>
      </c>
      <c r="E467" s="312">
        <f>Лист1!H160</f>
        <v>0</v>
      </c>
      <c r="F467" s="245">
        <f t="shared" si="18"/>
        <v>0</v>
      </c>
    </row>
    <row r="468" spans="1:6" hidden="1" x14ac:dyDescent="0.25">
      <c r="A468" s="210" t="str">
        <f ca="1">'таланты+инициативы0,2672'!A401</f>
        <v>Комплект тонера для цветного принтера Hp</v>
      </c>
      <c r="B468" s="163" t="s">
        <v>84</v>
      </c>
      <c r="C468" s="340"/>
      <c r="D468" s="163">
        <f>PRODUCT(Лист1!G161,$A$283)</f>
        <v>0.3664</v>
      </c>
      <c r="E468" s="312">
        <f>Лист1!H161</f>
        <v>0</v>
      </c>
      <c r="F468" s="245">
        <f t="shared" si="18"/>
        <v>0</v>
      </c>
    </row>
    <row r="469" spans="1:6" hidden="1" x14ac:dyDescent="0.25">
      <c r="A469" s="210" t="str">
        <f ca="1">'таланты+инициативы0,2672'!A402</f>
        <v>Флеш накопители  16 гб</v>
      </c>
      <c r="B469" s="163" t="s">
        <v>84</v>
      </c>
      <c r="C469" s="340"/>
      <c r="D469" s="163">
        <f>PRODUCT(Лист1!G162,$A$283)</f>
        <v>0.3664</v>
      </c>
      <c r="E469" s="312">
        <f>Лист1!H162</f>
        <v>0</v>
      </c>
      <c r="F469" s="245">
        <f t="shared" si="18"/>
        <v>0</v>
      </c>
    </row>
    <row r="470" spans="1:6" hidden="1" x14ac:dyDescent="0.25">
      <c r="A470" s="210" t="str">
        <f ca="1">'таланты+инициативы0,2672'!A403</f>
        <v>Флеш накопители  64 гб</v>
      </c>
      <c r="B470" s="163" t="s">
        <v>84</v>
      </c>
      <c r="C470" s="340"/>
      <c r="D470" s="163">
        <f>PRODUCT(Лист1!G163,$A$283)</f>
        <v>0.3664</v>
      </c>
      <c r="E470" s="312">
        <f>Лист1!H163</f>
        <v>0</v>
      </c>
      <c r="F470" s="245">
        <f t="shared" si="18"/>
        <v>0</v>
      </c>
    </row>
    <row r="471" spans="1:6" hidden="1" x14ac:dyDescent="0.25">
      <c r="A471" s="210" t="str">
        <f ca="1">'таланты+инициативы0,2672'!A404</f>
        <v>Обучение персонала</v>
      </c>
      <c r="B471" s="163" t="s">
        <v>84</v>
      </c>
      <c r="C471" s="340"/>
      <c r="D471" s="163">
        <f>PRODUCT(Лист1!G164,$A$283)</f>
        <v>0.3664</v>
      </c>
      <c r="E471" s="312">
        <f>Лист1!H164</f>
        <v>0</v>
      </c>
      <c r="F471" s="245">
        <f t="shared" si="18"/>
        <v>0</v>
      </c>
    </row>
    <row r="472" spans="1:6" hidden="1" x14ac:dyDescent="0.25">
      <c r="A472" s="210" t="str">
        <f ca="1">'таланты+инициативы0,2672'!A405</f>
        <v>Переподготовка</v>
      </c>
      <c r="B472" s="163" t="s">
        <v>84</v>
      </c>
      <c r="C472" s="340"/>
      <c r="D472" s="163">
        <f>PRODUCT(Лист1!G165,$A$283)</f>
        <v>0.3664</v>
      </c>
      <c r="E472" s="312">
        <f>Лист1!H165</f>
        <v>0</v>
      </c>
      <c r="F472" s="245">
        <f t="shared" si="18"/>
        <v>0</v>
      </c>
    </row>
    <row r="473" spans="1:6" hidden="1" x14ac:dyDescent="0.25">
      <c r="A473" s="210" t="str">
        <f ca="1">'таланты+инициативы0,2672'!A406</f>
        <v>Пиломатериал</v>
      </c>
      <c r="B473" s="163" t="s">
        <v>84</v>
      </c>
      <c r="C473" s="342"/>
      <c r="D473" s="163">
        <f>PRODUCT(Лист1!G166,$A$283)</f>
        <v>0.3664</v>
      </c>
      <c r="E473" s="312">
        <f>Лист1!H166</f>
        <v>0</v>
      </c>
      <c r="F473" s="245">
        <f t="shared" si="18"/>
        <v>0</v>
      </c>
    </row>
    <row r="474" spans="1:6" hidden="1" x14ac:dyDescent="0.25">
      <c r="A474" s="210" t="str">
        <f ca="1">'таланты+инициативы0,2672'!A407</f>
        <v>Тонеры для картриджей Kyocera</v>
      </c>
      <c r="B474" s="163" t="s">
        <v>84</v>
      </c>
      <c r="C474" s="342"/>
      <c r="D474" s="163">
        <f>PRODUCT(Лист1!G167,$A$283)</f>
        <v>0.3664</v>
      </c>
      <c r="E474" s="312">
        <f>Лист1!H167</f>
        <v>0</v>
      </c>
      <c r="F474" s="245">
        <f t="shared" si="18"/>
        <v>0</v>
      </c>
    </row>
    <row r="475" spans="1:6" hidden="1" x14ac:dyDescent="0.25">
      <c r="A475" s="210" t="str">
        <f ca="1">'таланты+инициативы0,2672'!A408</f>
        <v>Комплект тонеров для цветного принтера Canon</v>
      </c>
      <c r="B475" s="163" t="s">
        <v>84</v>
      </c>
      <c r="C475" s="342"/>
      <c r="D475" s="163">
        <f>PRODUCT(Лист1!G168,$A$283)</f>
        <v>0.3664</v>
      </c>
      <c r="E475" s="312">
        <f>Лист1!H168</f>
        <v>0</v>
      </c>
      <c r="F475" s="245">
        <f t="shared" si="18"/>
        <v>0</v>
      </c>
    </row>
    <row r="476" spans="1:6" hidden="1" x14ac:dyDescent="0.25">
      <c r="A476" s="210" t="str">
        <f ca="1">'таланты+инициативы0,2672'!A409</f>
        <v>Комплект тонера для цветного принтера Hp</v>
      </c>
      <c r="B476" s="163" t="s">
        <v>84</v>
      </c>
      <c r="C476" s="342"/>
      <c r="D476" s="163">
        <f>PRODUCT(Лист1!G169,$A$283)</f>
        <v>0.3664</v>
      </c>
      <c r="E476" s="312">
        <f>Лист1!H169</f>
        <v>0</v>
      </c>
      <c r="F476" s="245">
        <f t="shared" si="18"/>
        <v>0</v>
      </c>
    </row>
    <row r="477" spans="1:6" hidden="1" x14ac:dyDescent="0.25">
      <c r="A477" s="210" t="str">
        <f ca="1">'таланты+инициативы0,2672'!A410</f>
        <v>Флеш накопители  16 гб</v>
      </c>
      <c r="B477" s="163" t="s">
        <v>84</v>
      </c>
      <c r="C477" s="342"/>
      <c r="D477" s="163">
        <f>PRODUCT(Лист1!G170,$A$283)</f>
        <v>0.3664</v>
      </c>
      <c r="E477" s="312">
        <f>Лист1!H170</f>
        <v>0</v>
      </c>
      <c r="F477" s="245">
        <f t="shared" si="18"/>
        <v>0</v>
      </c>
    </row>
    <row r="478" spans="1:6" hidden="1" x14ac:dyDescent="0.25">
      <c r="A478" s="210" t="str">
        <f ca="1">'таланты+инициативы0,2672'!A411</f>
        <v>Флеш накопители  64 гб</v>
      </c>
      <c r="B478" s="163" t="s">
        <v>84</v>
      </c>
      <c r="C478" s="342"/>
      <c r="D478" s="163">
        <f>PRODUCT(Лист1!G171,$A$283)</f>
        <v>0.3664</v>
      </c>
      <c r="E478" s="312">
        <f>Лист1!H171</f>
        <v>0</v>
      </c>
      <c r="F478" s="245">
        <f t="shared" si="18"/>
        <v>0</v>
      </c>
    </row>
    <row r="479" spans="1:6" hidden="1" x14ac:dyDescent="0.25">
      <c r="A479" s="210" t="str">
        <f ca="1">'таланты+инициативы0,2672'!A412</f>
        <v>Обучение персонала</v>
      </c>
      <c r="B479" s="163" t="s">
        <v>84</v>
      </c>
      <c r="C479" s="342"/>
      <c r="D479" s="163">
        <f>PRODUCT(Лист1!G172,$A$283)</f>
        <v>0.3664</v>
      </c>
      <c r="E479" s="312">
        <f>Лист1!H172</f>
        <v>0</v>
      </c>
      <c r="F479" s="245">
        <f t="shared" si="18"/>
        <v>0</v>
      </c>
    </row>
    <row r="480" spans="1:6" hidden="1" x14ac:dyDescent="0.25">
      <c r="A480" s="210" t="str">
        <f ca="1">'таланты+инициативы0,2672'!A413</f>
        <v>Переподготовка</v>
      </c>
      <c r="B480" s="163" t="s">
        <v>84</v>
      </c>
      <c r="C480" s="342"/>
      <c r="D480" s="163">
        <f>PRODUCT(Лист1!G173,$A$283)</f>
        <v>0.3664</v>
      </c>
      <c r="E480" s="312">
        <f>Лист1!H173</f>
        <v>0</v>
      </c>
      <c r="F480" s="245">
        <f t="shared" si="18"/>
        <v>0</v>
      </c>
    </row>
    <row r="481" spans="1:6" hidden="1" x14ac:dyDescent="0.25">
      <c r="A481" s="210" t="str">
        <f ca="1">'таланты+инициативы0,2672'!A414</f>
        <v>Пиломатериал</v>
      </c>
      <c r="B481" s="163" t="s">
        <v>84</v>
      </c>
      <c r="C481" s="342"/>
      <c r="D481" s="163">
        <f>PRODUCT(Лист1!G174,$A$283)</f>
        <v>0.3664</v>
      </c>
      <c r="E481" s="312">
        <f>Лист1!H174</f>
        <v>0</v>
      </c>
      <c r="F481" s="245">
        <f t="shared" si="18"/>
        <v>0</v>
      </c>
    </row>
    <row r="482" spans="1:6" hidden="1" x14ac:dyDescent="0.25">
      <c r="A482" s="210" t="str">
        <f ca="1">'таланты+инициативы0,2672'!A415</f>
        <v>Тонеры для картриджей Kyocera</v>
      </c>
      <c r="B482" s="163" t="s">
        <v>84</v>
      </c>
      <c r="C482" s="342"/>
      <c r="D482" s="163">
        <f>PRODUCT(Лист1!G175,$A$283)</f>
        <v>0.3664</v>
      </c>
      <c r="E482" s="312">
        <f>Лист1!H175</f>
        <v>0</v>
      </c>
      <c r="F482" s="245">
        <f t="shared" si="18"/>
        <v>0</v>
      </c>
    </row>
    <row r="483" spans="1:6" hidden="1" x14ac:dyDescent="0.25">
      <c r="A483" s="210" t="str">
        <f ca="1">'таланты+инициативы0,2672'!A416</f>
        <v>Комплект тонеров для цветного принтера Canon</v>
      </c>
      <c r="B483" s="163" t="s">
        <v>84</v>
      </c>
      <c r="C483" s="342"/>
      <c r="D483" s="163">
        <f>PRODUCT(Лист1!G176,$A$283)</f>
        <v>0.3664</v>
      </c>
      <c r="E483" s="312">
        <f>Лист1!H176</f>
        <v>0</v>
      </c>
      <c r="F483" s="245">
        <f t="shared" si="18"/>
        <v>0</v>
      </c>
    </row>
    <row r="484" spans="1:6" hidden="1" x14ac:dyDescent="0.25">
      <c r="A484" s="210" t="str">
        <f ca="1">'таланты+инициативы0,2672'!A417</f>
        <v>Комплект тонера для цветного принтера Hp</v>
      </c>
      <c r="B484" s="163" t="s">
        <v>84</v>
      </c>
      <c r="C484" s="342"/>
      <c r="D484" s="163">
        <f>PRODUCT(Лист1!G177,$A$283)</f>
        <v>0.3664</v>
      </c>
      <c r="E484" s="312">
        <f>Лист1!H177</f>
        <v>0</v>
      </c>
      <c r="F484" s="245">
        <f t="shared" si="18"/>
        <v>0</v>
      </c>
    </row>
    <row r="485" spans="1:6" hidden="1" x14ac:dyDescent="0.25">
      <c r="A485" s="210" t="str">
        <f ca="1">'таланты+инициативы0,2672'!A418</f>
        <v>Флеш накопители  16 гб</v>
      </c>
      <c r="B485" s="163" t="s">
        <v>84</v>
      </c>
      <c r="C485" s="342"/>
      <c r="D485" s="163">
        <f>PRODUCT(Лист1!G178,$A$283)</f>
        <v>0.3664</v>
      </c>
      <c r="E485" s="312">
        <f>Лист1!H178</f>
        <v>0</v>
      </c>
      <c r="F485" s="245">
        <f t="shared" si="18"/>
        <v>0</v>
      </c>
    </row>
    <row r="486" spans="1:6" hidden="1" x14ac:dyDescent="0.25">
      <c r="A486" s="210" t="str">
        <f ca="1">'таланты+инициативы0,2672'!A419</f>
        <v>Флеш накопители  64 гб</v>
      </c>
      <c r="B486" s="163" t="s">
        <v>84</v>
      </c>
      <c r="C486" s="342"/>
      <c r="D486" s="163">
        <f>PRODUCT(Лист1!G179,$A$283)</f>
        <v>0.3664</v>
      </c>
      <c r="E486" s="312">
        <f>Лист1!H179</f>
        <v>0</v>
      </c>
      <c r="F486" s="245">
        <f t="shared" si="18"/>
        <v>0</v>
      </c>
    </row>
    <row r="487" spans="1:6" hidden="1" x14ac:dyDescent="0.25">
      <c r="A487" s="210" t="str">
        <f ca="1">'таланты+инициативы0,2672'!A420</f>
        <v>Обучение персонала</v>
      </c>
      <c r="B487" s="163" t="s">
        <v>84</v>
      </c>
      <c r="C487" s="342"/>
      <c r="D487" s="163">
        <f>PRODUCT(Лист1!G180,$A$283)</f>
        <v>0.3664</v>
      </c>
      <c r="E487" s="312">
        <f>Лист1!H180</f>
        <v>0</v>
      </c>
      <c r="F487" s="245">
        <f t="shared" si="18"/>
        <v>0</v>
      </c>
    </row>
    <row r="488" spans="1:6" hidden="1" x14ac:dyDescent="0.25">
      <c r="A488" s="210" t="str">
        <f ca="1">'таланты+инициативы0,2672'!A421</f>
        <v>Переподготовка</v>
      </c>
      <c r="B488" s="163" t="s">
        <v>84</v>
      </c>
      <c r="C488" s="342"/>
      <c r="D488" s="163">
        <f>PRODUCT(Лист1!G181,$A$283)</f>
        <v>0.3664</v>
      </c>
      <c r="E488" s="312">
        <f>Лист1!H181</f>
        <v>0</v>
      </c>
      <c r="F488" s="245">
        <f t="shared" si="18"/>
        <v>0</v>
      </c>
    </row>
    <row r="489" spans="1:6" hidden="1" x14ac:dyDescent="0.25">
      <c r="A489" s="210" t="str">
        <f ca="1">'таланты+инициативы0,2672'!A422</f>
        <v>Пиломатериал</v>
      </c>
      <c r="B489" s="163" t="s">
        <v>84</v>
      </c>
      <c r="C489" s="342"/>
      <c r="D489" s="163">
        <f>PRODUCT(Лист1!G182,$A$283)</f>
        <v>0.3664</v>
      </c>
      <c r="E489" s="312">
        <f>Лист1!H182</f>
        <v>0</v>
      </c>
      <c r="F489" s="245">
        <f t="shared" si="18"/>
        <v>0</v>
      </c>
    </row>
    <row r="490" spans="1:6" hidden="1" x14ac:dyDescent="0.25">
      <c r="A490" s="210" t="str">
        <f ca="1">'таланты+инициативы0,2672'!A423</f>
        <v>Тонеры для картриджей Kyocera</v>
      </c>
      <c r="B490" s="163" t="s">
        <v>84</v>
      </c>
      <c r="C490" s="342"/>
      <c r="D490" s="163">
        <f>PRODUCT(Лист1!G183,$A$283)</f>
        <v>0.3664</v>
      </c>
      <c r="E490" s="312">
        <f>Лист1!H183</f>
        <v>0</v>
      </c>
      <c r="F490" s="245">
        <f t="shared" si="18"/>
        <v>0</v>
      </c>
    </row>
    <row r="491" spans="1:6" hidden="1" x14ac:dyDescent="0.25">
      <c r="A491" s="210" t="str">
        <f ca="1">'таланты+инициативы0,2672'!A424</f>
        <v>Комплект тонеров для цветного принтера Canon</v>
      </c>
      <c r="B491" s="163" t="s">
        <v>84</v>
      </c>
      <c r="C491" s="342"/>
      <c r="D491" s="163">
        <f>PRODUCT(Лист1!G184,$A$283)</f>
        <v>0.3664</v>
      </c>
      <c r="E491" s="312">
        <f>Лист1!H184</f>
        <v>0</v>
      </c>
      <c r="F491" s="245">
        <f t="shared" si="18"/>
        <v>0</v>
      </c>
    </row>
    <row r="492" spans="1:6" hidden="1" x14ac:dyDescent="0.25">
      <c r="A492" s="210" t="str">
        <f ca="1">'таланты+инициативы0,2672'!A425</f>
        <v>Комплект тонера для цветного принтера Hp</v>
      </c>
      <c r="B492" s="163" t="s">
        <v>84</v>
      </c>
      <c r="C492" s="342"/>
      <c r="D492" s="163">
        <f>PRODUCT(Лист1!G185,$A$283)</f>
        <v>0.3664</v>
      </c>
      <c r="E492" s="312">
        <f>Лист1!H185</f>
        <v>0</v>
      </c>
      <c r="F492" s="245">
        <f t="shared" si="18"/>
        <v>0</v>
      </c>
    </row>
    <row r="493" spans="1:6" hidden="1" x14ac:dyDescent="0.25">
      <c r="A493" s="210" t="str">
        <f ca="1">'таланты+инициативы0,2672'!A426</f>
        <v>Флеш накопители  16 гб</v>
      </c>
      <c r="B493" s="163" t="s">
        <v>84</v>
      </c>
      <c r="C493" s="342"/>
      <c r="D493" s="163">
        <f>PRODUCT(Лист1!G186,$A$283)</f>
        <v>0.3664</v>
      </c>
      <c r="E493" s="312">
        <f>Лист1!H186</f>
        <v>0</v>
      </c>
      <c r="F493" s="245">
        <f t="shared" si="18"/>
        <v>0</v>
      </c>
    </row>
    <row r="494" spans="1:6" hidden="1" x14ac:dyDescent="0.25">
      <c r="A494" s="210" t="str">
        <f ca="1">'таланты+инициативы0,2672'!A427</f>
        <v>Флеш накопители  64 гб</v>
      </c>
      <c r="B494" s="163" t="s">
        <v>84</v>
      </c>
      <c r="C494" s="342"/>
      <c r="D494" s="163">
        <f>PRODUCT(Лист1!G187,$A$283)</f>
        <v>0.3664</v>
      </c>
      <c r="E494" s="312">
        <f>Лист1!H187</f>
        <v>0</v>
      </c>
      <c r="F494" s="245">
        <f t="shared" si="18"/>
        <v>0</v>
      </c>
    </row>
    <row r="495" spans="1:6" hidden="1" x14ac:dyDescent="0.25">
      <c r="A495" s="210" t="str">
        <f ca="1">'таланты+инициативы0,2672'!A428</f>
        <v>Обучение персонала</v>
      </c>
      <c r="B495" s="163" t="s">
        <v>84</v>
      </c>
      <c r="C495" s="342"/>
      <c r="D495" s="163">
        <f>PRODUCT(Лист1!G188,$A$283)</f>
        <v>0.3664</v>
      </c>
      <c r="E495" s="312">
        <f>Лист1!H188</f>
        <v>0</v>
      </c>
      <c r="F495" s="245">
        <f t="shared" si="18"/>
        <v>0</v>
      </c>
    </row>
    <row r="496" spans="1:6" hidden="1" x14ac:dyDescent="0.25">
      <c r="A496" s="210" t="str">
        <f ca="1">'таланты+инициативы0,2672'!A429</f>
        <v>Переподготовка</v>
      </c>
      <c r="B496" s="163" t="s">
        <v>84</v>
      </c>
      <c r="C496" s="342"/>
      <c r="D496" s="163">
        <f>PRODUCT(Лист1!G189,$A$283)</f>
        <v>0.3664</v>
      </c>
      <c r="E496" s="312">
        <f>Лист1!H189</f>
        <v>0</v>
      </c>
      <c r="F496" s="245">
        <f t="shared" si="18"/>
        <v>0</v>
      </c>
    </row>
    <row r="497" spans="1:6" hidden="1" x14ac:dyDescent="0.25">
      <c r="A497" s="210" t="str">
        <f ca="1">'таланты+инициативы0,2672'!A430</f>
        <v>Пиломатериал</v>
      </c>
      <c r="B497" s="163" t="s">
        <v>84</v>
      </c>
      <c r="C497" s="342"/>
      <c r="D497" s="163">
        <f>PRODUCT(Лист1!G190,$A$283)</f>
        <v>0.3664</v>
      </c>
      <c r="E497" s="312">
        <f>Лист1!H190</f>
        <v>0</v>
      </c>
      <c r="F497" s="245">
        <f t="shared" si="18"/>
        <v>0</v>
      </c>
    </row>
    <row r="498" spans="1:6" hidden="1" x14ac:dyDescent="0.25">
      <c r="A498" s="210" t="str">
        <f ca="1">'таланты+инициативы0,2672'!A431</f>
        <v>Тонеры для картриджей Kyocera</v>
      </c>
      <c r="B498" s="163" t="s">
        <v>84</v>
      </c>
      <c r="C498" s="342"/>
      <c r="D498" s="163">
        <f>PRODUCT(Лист1!G191,$A$283)</f>
        <v>0.3664</v>
      </c>
      <c r="E498" s="312">
        <f>Лист1!H191</f>
        <v>0</v>
      </c>
      <c r="F498" s="245">
        <f t="shared" si="18"/>
        <v>0</v>
      </c>
    </row>
    <row r="499" spans="1:6" hidden="1" x14ac:dyDescent="0.25">
      <c r="A499" s="210" t="str">
        <f ca="1">'таланты+инициативы0,2672'!A432</f>
        <v>Комплект тонеров для цветного принтера Canon</v>
      </c>
      <c r="B499" s="163" t="s">
        <v>84</v>
      </c>
      <c r="C499" s="342"/>
      <c r="D499" s="163">
        <f>PRODUCT(Лист1!G192,$A$283)</f>
        <v>0.3664</v>
      </c>
      <c r="E499" s="312">
        <f>Лист1!H192</f>
        <v>0</v>
      </c>
      <c r="F499" s="245">
        <f t="shared" si="18"/>
        <v>0</v>
      </c>
    </row>
    <row r="500" spans="1:6" hidden="1" x14ac:dyDescent="0.25">
      <c r="A500" s="210" t="str">
        <f ca="1">'таланты+инициативы0,2672'!A433</f>
        <v>Комплект тонера для цветного принтера Hp</v>
      </c>
      <c r="B500" s="163" t="s">
        <v>84</v>
      </c>
      <c r="C500" s="342"/>
      <c r="D500" s="163">
        <f>PRODUCT(Лист1!G193,$A$283)</f>
        <v>0.3664</v>
      </c>
      <c r="E500" s="312">
        <f>Лист1!H193</f>
        <v>0</v>
      </c>
      <c r="F500" s="245">
        <f t="shared" si="18"/>
        <v>0</v>
      </c>
    </row>
    <row r="501" spans="1:6" hidden="1" x14ac:dyDescent="0.25">
      <c r="A501" s="210" t="str">
        <f ca="1">'таланты+инициативы0,2672'!A434</f>
        <v>Флеш накопители  16 гб</v>
      </c>
      <c r="B501" s="163" t="s">
        <v>84</v>
      </c>
      <c r="C501" s="342"/>
      <c r="D501" s="163">
        <f>PRODUCT(Лист1!G194,$A$283)</f>
        <v>0.3664</v>
      </c>
      <c r="E501" s="312">
        <f>Лист1!H194</f>
        <v>0</v>
      </c>
      <c r="F501" s="245">
        <f t="shared" si="18"/>
        <v>0</v>
      </c>
    </row>
    <row r="502" spans="1:6" hidden="1" x14ac:dyDescent="0.25">
      <c r="A502" s="210" t="str">
        <f ca="1">'таланты+инициативы0,2672'!A435</f>
        <v>Флеш накопители  64 гб</v>
      </c>
      <c r="B502" s="163" t="s">
        <v>84</v>
      </c>
      <c r="C502" s="342"/>
      <c r="D502" s="163">
        <f>PRODUCT(Лист1!G195,$A$283)</f>
        <v>0.3664</v>
      </c>
      <c r="E502" s="312">
        <f>Лист1!H195</f>
        <v>0</v>
      </c>
      <c r="F502" s="245">
        <f t="shared" si="18"/>
        <v>0</v>
      </c>
    </row>
    <row r="503" spans="1:6" hidden="1" x14ac:dyDescent="0.25">
      <c r="A503" s="210" t="str">
        <f ca="1">'таланты+инициативы0,2672'!A436</f>
        <v>Обучение персонала</v>
      </c>
      <c r="B503" s="163" t="s">
        <v>84</v>
      </c>
      <c r="C503" s="342"/>
      <c r="D503" s="163">
        <f>PRODUCT(Лист1!G196,$A$283)</f>
        <v>0.3664</v>
      </c>
      <c r="E503" s="312">
        <f>Лист1!H196</f>
        <v>0</v>
      </c>
      <c r="F503" s="245">
        <f t="shared" si="18"/>
        <v>0</v>
      </c>
    </row>
    <row r="504" spans="1:6" hidden="1" x14ac:dyDescent="0.25">
      <c r="A504" s="210" t="str">
        <f ca="1">'таланты+инициативы0,2672'!A437</f>
        <v>Переподготовка</v>
      </c>
      <c r="B504" s="163" t="s">
        <v>84</v>
      </c>
      <c r="C504" s="342"/>
      <c r="D504" s="163">
        <f>PRODUCT(Лист1!G197,$A$283)</f>
        <v>0.3664</v>
      </c>
      <c r="E504" s="312">
        <f>Лист1!H197</f>
        <v>0</v>
      </c>
      <c r="F504" s="245">
        <f t="shared" si="18"/>
        <v>0</v>
      </c>
    </row>
    <row r="505" spans="1:6" hidden="1" x14ac:dyDescent="0.25">
      <c r="A505" s="210" t="str">
        <f ca="1">'таланты+инициативы0,2672'!A438</f>
        <v>Пиломатериал</v>
      </c>
      <c r="B505" s="163" t="s">
        <v>84</v>
      </c>
      <c r="C505" s="342"/>
      <c r="D505" s="163">
        <f>PRODUCT(Лист1!G198,$A$283)</f>
        <v>0.3664</v>
      </c>
      <c r="E505" s="312">
        <f>Лист1!H198</f>
        <v>0</v>
      </c>
      <c r="F505" s="245">
        <f t="shared" si="18"/>
        <v>0</v>
      </c>
    </row>
    <row r="506" spans="1:6" hidden="1" x14ac:dyDescent="0.25">
      <c r="A506" s="210" t="str">
        <f ca="1">'таланты+инициативы0,2672'!A439</f>
        <v>Тонеры для картриджей Kyocera</v>
      </c>
      <c r="B506" s="163" t="s">
        <v>84</v>
      </c>
      <c r="C506" s="342"/>
      <c r="D506" s="163">
        <f>PRODUCT(Лист1!G199,$A$283)</f>
        <v>0.3664</v>
      </c>
      <c r="E506" s="312">
        <f>Лист1!H199</f>
        <v>0</v>
      </c>
      <c r="F506" s="245">
        <f t="shared" si="18"/>
        <v>0</v>
      </c>
    </row>
    <row r="507" spans="1:6" hidden="1" x14ac:dyDescent="0.25">
      <c r="A507" s="210" t="str">
        <f ca="1">'таланты+инициативы0,2672'!A440</f>
        <v>Комплект тонеров для цветного принтера Canon</v>
      </c>
      <c r="B507" s="163" t="s">
        <v>84</v>
      </c>
      <c r="C507" s="342"/>
      <c r="D507" s="163">
        <f>PRODUCT(Лист1!G200,$A$283)</f>
        <v>0.3664</v>
      </c>
      <c r="E507" s="312">
        <f>Лист1!H200</f>
        <v>0</v>
      </c>
      <c r="F507" s="245">
        <f t="shared" si="18"/>
        <v>0</v>
      </c>
    </row>
    <row r="508" spans="1:6" hidden="1" x14ac:dyDescent="0.25">
      <c r="A508" s="210" t="str">
        <f ca="1">'таланты+инициативы0,2672'!A441</f>
        <v>Комплект тонера для цветного принтера Hp</v>
      </c>
      <c r="B508" s="163" t="s">
        <v>84</v>
      </c>
      <c r="C508" s="342"/>
      <c r="D508" s="163">
        <f>PRODUCT(Лист1!G201,$A$283)</f>
        <v>0.3664</v>
      </c>
      <c r="E508" s="312">
        <f>Лист1!H201</f>
        <v>0</v>
      </c>
      <c r="F508" s="245">
        <f t="shared" si="18"/>
        <v>0</v>
      </c>
    </row>
    <row r="509" spans="1:6" hidden="1" x14ac:dyDescent="0.25">
      <c r="A509" s="210" t="str">
        <f ca="1">'таланты+инициативы0,2672'!A442</f>
        <v>Флеш накопители  16 гб</v>
      </c>
      <c r="B509" s="163" t="s">
        <v>84</v>
      </c>
      <c r="C509" s="342"/>
      <c r="D509" s="163">
        <f>PRODUCT(Лист1!G202,$A$283)</f>
        <v>0.3664</v>
      </c>
      <c r="E509" s="312">
        <f>Лист1!H202</f>
        <v>0</v>
      </c>
      <c r="F509" s="245">
        <f t="shared" si="18"/>
        <v>0</v>
      </c>
    </row>
    <row r="510" spans="1:6" hidden="1" x14ac:dyDescent="0.25">
      <c r="A510" s="210" t="str">
        <f ca="1">'таланты+инициативы0,2672'!A443</f>
        <v>Флеш накопители  64 гб</v>
      </c>
      <c r="B510" s="163" t="s">
        <v>84</v>
      </c>
      <c r="C510" s="342"/>
      <c r="D510" s="163">
        <f>PRODUCT(Лист1!G203,$A$283)</f>
        <v>0.3664</v>
      </c>
      <c r="E510" s="312">
        <f>Лист1!H203</f>
        <v>0</v>
      </c>
      <c r="F510" s="245">
        <f t="shared" si="18"/>
        <v>0</v>
      </c>
    </row>
    <row r="511" spans="1:6" hidden="1" x14ac:dyDescent="0.25">
      <c r="A511" s="210" t="str">
        <f ca="1">'таланты+инициативы0,2672'!A444</f>
        <v>Обучение персонала</v>
      </c>
      <c r="B511" s="163" t="s">
        <v>84</v>
      </c>
      <c r="C511" s="342"/>
      <c r="D511" s="163">
        <f>PRODUCT(Лист1!G204,$A$283)</f>
        <v>0.3664</v>
      </c>
      <c r="E511" s="312">
        <f>Лист1!H204</f>
        <v>0</v>
      </c>
      <c r="F511" s="245">
        <f t="shared" si="18"/>
        <v>0</v>
      </c>
    </row>
    <row r="512" spans="1:6" hidden="1" x14ac:dyDescent="0.25">
      <c r="A512" s="210" t="str">
        <f ca="1">'таланты+инициативы0,2672'!A445</f>
        <v>Переподготовка</v>
      </c>
      <c r="B512" s="163" t="s">
        <v>84</v>
      </c>
      <c r="C512" s="342"/>
      <c r="D512" s="163">
        <f>PRODUCT(Лист1!G205,$A$283)</f>
        <v>0.3664</v>
      </c>
      <c r="E512" s="312">
        <f>Лист1!H205</f>
        <v>0</v>
      </c>
      <c r="F512" s="245">
        <f t="shared" si="18"/>
        <v>0</v>
      </c>
    </row>
    <row r="513" spans="1:6" hidden="1" x14ac:dyDescent="0.25">
      <c r="A513" s="210" t="str">
        <f ca="1">'таланты+инициативы0,2672'!A446</f>
        <v>Пиломатериал</v>
      </c>
      <c r="B513" s="163" t="s">
        <v>84</v>
      </c>
      <c r="C513" s="342"/>
      <c r="D513" s="163">
        <f>PRODUCT(Лист1!G206,$A$283)</f>
        <v>0.3664</v>
      </c>
      <c r="E513" s="312">
        <f>Лист1!H206</f>
        <v>0</v>
      </c>
      <c r="F513" s="245">
        <f t="shared" si="18"/>
        <v>0</v>
      </c>
    </row>
    <row r="514" spans="1:6" hidden="1" x14ac:dyDescent="0.25">
      <c r="A514" s="210" t="str">
        <f ca="1">'таланты+инициативы0,2672'!A447</f>
        <v>Тонеры для картриджей Kyocera</v>
      </c>
      <c r="B514" s="163" t="s">
        <v>84</v>
      </c>
      <c r="C514" s="342"/>
      <c r="D514" s="163">
        <f>PRODUCT(Лист1!G207,$A$283)</f>
        <v>0.3664</v>
      </c>
      <c r="E514" s="312">
        <f>Лист1!H207</f>
        <v>0</v>
      </c>
      <c r="F514" s="245">
        <f t="shared" si="18"/>
        <v>0</v>
      </c>
    </row>
    <row r="515" spans="1:6" hidden="1" x14ac:dyDescent="0.25">
      <c r="A515" s="210" t="str">
        <f ca="1">'таланты+инициативы0,2672'!A448</f>
        <v>Комплект тонеров для цветного принтера Canon</v>
      </c>
      <c r="B515" s="163" t="s">
        <v>84</v>
      </c>
      <c r="C515" s="342"/>
      <c r="D515" s="163">
        <f>PRODUCT(Лист1!G208,$A$283)</f>
        <v>0.3664</v>
      </c>
      <c r="E515" s="312">
        <f>Лист1!H208</f>
        <v>0</v>
      </c>
      <c r="F515" s="245">
        <f t="shared" si="18"/>
        <v>0</v>
      </c>
    </row>
    <row r="516" spans="1:6" hidden="1" x14ac:dyDescent="0.25">
      <c r="A516" s="210" t="str">
        <f ca="1">'таланты+инициативы0,2672'!A449</f>
        <v>Комплект тонера для цветного принтера Hp</v>
      </c>
      <c r="B516" s="163" t="s">
        <v>84</v>
      </c>
      <c r="C516" s="342"/>
      <c r="D516" s="163">
        <f>PRODUCT(Лист1!G209,$A$283)</f>
        <v>0.3664</v>
      </c>
      <c r="E516" s="312">
        <f>Лист1!H209</f>
        <v>0</v>
      </c>
      <c r="F516" s="245">
        <f t="shared" si="18"/>
        <v>0</v>
      </c>
    </row>
    <row r="517" spans="1:6" hidden="1" x14ac:dyDescent="0.25">
      <c r="A517" s="210" t="str">
        <f ca="1">'таланты+инициативы0,2672'!A450</f>
        <v>Флеш накопители  16 гб</v>
      </c>
      <c r="B517" s="163" t="s">
        <v>84</v>
      </c>
      <c r="C517" s="342"/>
      <c r="D517" s="163">
        <f>PRODUCT(Лист1!G210,$A$283)</f>
        <v>0.3664</v>
      </c>
      <c r="E517" s="312">
        <f>Лист1!H210</f>
        <v>0</v>
      </c>
      <c r="F517" s="245">
        <f t="shared" si="18"/>
        <v>0</v>
      </c>
    </row>
    <row r="518" spans="1:6" hidden="1" x14ac:dyDescent="0.25">
      <c r="A518" s="210" t="str">
        <f ca="1">'таланты+инициативы0,2672'!A451</f>
        <v>Флеш накопители  64 гб</v>
      </c>
      <c r="B518" s="163" t="s">
        <v>84</v>
      </c>
      <c r="C518" s="342"/>
      <c r="D518" s="163">
        <f>PRODUCT(Лист1!G211,$A$283)</f>
        <v>0.3664</v>
      </c>
      <c r="E518" s="312">
        <f>Лист1!H211</f>
        <v>0</v>
      </c>
      <c r="F518" s="245">
        <f t="shared" si="18"/>
        <v>0</v>
      </c>
    </row>
    <row r="519" spans="1:6" hidden="1" x14ac:dyDescent="0.25">
      <c r="A519" s="210" t="str">
        <f ca="1">'таланты+инициативы0,2672'!A452</f>
        <v>Обучение персонала</v>
      </c>
      <c r="B519" s="163" t="s">
        <v>84</v>
      </c>
      <c r="C519" s="342"/>
      <c r="D519" s="163">
        <f>PRODUCT(Лист1!G212,$A$283)</f>
        <v>0.3664</v>
      </c>
      <c r="E519" s="312">
        <f>Лист1!H212</f>
        <v>0</v>
      </c>
      <c r="F519" s="245">
        <f t="shared" si="18"/>
        <v>0</v>
      </c>
    </row>
    <row r="520" spans="1:6" hidden="1" x14ac:dyDescent="0.25">
      <c r="A520" s="210" t="str">
        <f ca="1">'таланты+инициативы0,2672'!A453</f>
        <v>Переподготовка</v>
      </c>
      <c r="B520" s="163" t="s">
        <v>84</v>
      </c>
      <c r="C520" s="342"/>
      <c r="D520" s="163">
        <f>PRODUCT(Лист1!G213,$A$283)</f>
        <v>0.3664</v>
      </c>
      <c r="E520" s="312">
        <f>Лист1!H213</f>
        <v>0</v>
      </c>
      <c r="F520" s="245">
        <f t="shared" si="18"/>
        <v>0</v>
      </c>
    </row>
    <row r="521" spans="1:6" hidden="1" x14ac:dyDescent="0.25">
      <c r="A521" s="210" t="str">
        <f ca="1">'таланты+инициативы0,2672'!A454</f>
        <v>Пиломатериал</v>
      </c>
      <c r="B521" s="163" t="s">
        <v>84</v>
      </c>
      <c r="C521" s="340"/>
      <c r="D521" s="163">
        <f>PRODUCT(Лист1!G214,$A$283)</f>
        <v>0.3664</v>
      </c>
      <c r="E521" s="312">
        <f>Лист1!H214</f>
        <v>0</v>
      </c>
      <c r="F521" s="245">
        <f t="shared" si="18"/>
        <v>0</v>
      </c>
    </row>
    <row r="522" spans="1:6" hidden="1" x14ac:dyDescent="0.25">
      <c r="A522" s="210" t="str">
        <f ca="1">'таланты+инициативы0,2672'!A455</f>
        <v>Тонеры для картриджей Kyocera</v>
      </c>
      <c r="B522" s="163" t="s">
        <v>84</v>
      </c>
      <c r="C522" s="340"/>
      <c r="D522" s="163">
        <f>PRODUCT(Лист1!G215,$A$283)</f>
        <v>0.3664</v>
      </c>
      <c r="E522" s="312">
        <f>Лист1!H215</f>
        <v>0</v>
      </c>
      <c r="F522" s="245">
        <f t="shared" si="18"/>
        <v>0</v>
      </c>
    </row>
    <row r="523" spans="1:6" hidden="1" x14ac:dyDescent="0.25">
      <c r="A523" s="210" t="str">
        <f ca="1">'таланты+инициативы0,2672'!A456</f>
        <v>Комплект тонеров для цветного принтера Canon</v>
      </c>
      <c r="B523" s="163" t="s">
        <v>84</v>
      </c>
      <c r="C523" s="340"/>
      <c r="D523" s="163">
        <f>PRODUCT(Лист1!G216,$A$283)</f>
        <v>0.3664</v>
      </c>
      <c r="E523" s="312">
        <f>Лист1!H216</f>
        <v>0</v>
      </c>
      <c r="F523" s="245">
        <f t="shared" si="18"/>
        <v>0</v>
      </c>
    </row>
    <row r="524" spans="1:6" hidden="1" x14ac:dyDescent="0.25">
      <c r="A524" s="210" t="str">
        <f ca="1">'таланты+инициативы0,2672'!A457</f>
        <v>Комплект тонера для цветного принтера Hp</v>
      </c>
      <c r="B524" s="163" t="s">
        <v>84</v>
      </c>
      <c r="C524" s="340"/>
      <c r="D524" s="163">
        <f>PRODUCT(Лист1!G217,$A$283)</f>
        <v>0.3664</v>
      </c>
      <c r="E524" s="312">
        <f>Лист1!H217</f>
        <v>0</v>
      </c>
      <c r="F524" s="245">
        <f t="shared" si="18"/>
        <v>0</v>
      </c>
    </row>
    <row r="525" spans="1:6" hidden="1" x14ac:dyDescent="0.25">
      <c r="A525" s="210" t="str">
        <f ca="1">'таланты+инициативы0,2672'!A458</f>
        <v>Флеш накопители  16 гб</v>
      </c>
      <c r="B525" s="163" t="s">
        <v>84</v>
      </c>
      <c r="C525" s="340"/>
      <c r="D525" s="163">
        <f>PRODUCT(Лист1!G218,$A$283)</f>
        <v>0.3664</v>
      </c>
      <c r="E525" s="312">
        <f>Лист1!H218</f>
        <v>0</v>
      </c>
      <c r="F525" s="245">
        <f t="shared" si="18"/>
        <v>0</v>
      </c>
    </row>
    <row r="526" spans="1:6" hidden="1" x14ac:dyDescent="0.25">
      <c r="A526" s="210" t="str">
        <f ca="1">'таланты+инициативы0,2672'!A459</f>
        <v>Флеш накопители  64 гб</v>
      </c>
      <c r="B526" s="163" t="s">
        <v>84</v>
      </c>
      <c r="C526" s="340"/>
      <c r="D526" s="163">
        <f>PRODUCT(Лист1!G219,$A$283)</f>
        <v>0.3664</v>
      </c>
      <c r="E526" s="312">
        <f>Лист1!H219</f>
        <v>0</v>
      </c>
      <c r="F526" s="245">
        <f t="shared" ref="F526:F532" si="19">D526*E526</f>
        <v>0</v>
      </c>
    </row>
    <row r="527" spans="1:6" hidden="1" x14ac:dyDescent="0.25">
      <c r="A527" s="210" t="str">
        <f ca="1">'таланты+инициативы0,2672'!A460</f>
        <v>Обучение персонала</v>
      </c>
      <c r="B527" s="163" t="s">
        <v>84</v>
      </c>
      <c r="C527" s="340"/>
      <c r="D527" s="163">
        <f>PRODUCT(Лист1!G220,$A$283)</f>
        <v>0.3664</v>
      </c>
      <c r="E527" s="312">
        <f>Лист1!H220</f>
        <v>0</v>
      </c>
      <c r="F527" s="245">
        <f t="shared" si="19"/>
        <v>0</v>
      </c>
    </row>
    <row r="528" spans="1:6" hidden="1" x14ac:dyDescent="0.25">
      <c r="A528" s="210" t="str">
        <f ca="1">'таланты+инициативы0,2672'!A461</f>
        <v>Переподготовка</v>
      </c>
      <c r="B528" s="163" t="s">
        <v>84</v>
      </c>
      <c r="C528" s="340"/>
      <c r="D528" s="163">
        <f>PRODUCT(Лист1!G221,$A$283)</f>
        <v>0.3664</v>
      </c>
      <c r="E528" s="312">
        <f>Лист1!H221</f>
        <v>0</v>
      </c>
      <c r="F528" s="245">
        <f t="shared" si="19"/>
        <v>0</v>
      </c>
    </row>
    <row r="529" spans="1:6" hidden="1" x14ac:dyDescent="0.25">
      <c r="A529" s="210" t="str">
        <f ca="1">'таланты+инициативы0,2672'!A462</f>
        <v>Пиломатериал</v>
      </c>
      <c r="B529" s="163" t="s">
        <v>84</v>
      </c>
      <c r="C529" s="340"/>
      <c r="D529" s="163">
        <f>PRODUCT(Лист1!G222,$A$283)</f>
        <v>0.3664</v>
      </c>
      <c r="E529" s="312">
        <f>Лист1!H222</f>
        <v>0</v>
      </c>
      <c r="F529" s="245">
        <f t="shared" si="19"/>
        <v>0</v>
      </c>
    </row>
    <row r="530" spans="1:6" hidden="1" x14ac:dyDescent="0.25">
      <c r="A530" s="210" t="str">
        <f ca="1">'таланты+инициативы0,2672'!A463</f>
        <v>Тонеры для картриджей Kyocera</v>
      </c>
      <c r="B530" s="163" t="s">
        <v>84</v>
      </c>
      <c r="C530" s="340"/>
      <c r="D530" s="163">
        <f>PRODUCT(Лист1!G223,$A$283)</f>
        <v>0.3664</v>
      </c>
      <c r="E530" s="312">
        <f>Лист1!H223</f>
        <v>0</v>
      </c>
      <c r="F530" s="245">
        <f t="shared" si="19"/>
        <v>0</v>
      </c>
    </row>
    <row r="531" spans="1:6" hidden="1" x14ac:dyDescent="0.25">
      <c r="A531" s="210" t="str">
        <f ca="1">'таланты+инициативы0,2672'!A464</f>
        <v>Комплект тонеров для цветного принтера Canon</v>
      </c>
      <c r="B531" s="163" t="s">
        <v>84</v>
      </c>
      <c r="C531" s="340"/>
      <c r="D531" s="163">
        <f>PRODUCT(Лист1!G224,$A$283)</f>
        <v>0.3664</v>
      </c>
      <c r="E531" s="312">
        <f>Лист1!H224</f>
        <v>0</v>
      </c>
      <c r="F531" s="245">
        <f t="shared" si="19"/>
        <v>0</v>
      </c>
    </row>
    <row r="532" spans="1:6" hidden="1" x14ac:dyDescent="0.25">
      <c r="A532" s="210" t="str">
        <f ca="1">'таланты+инициативы0,2672'!A465</f>
        <v>Комплект тонера для цветного принтера Hp</v>
      </c>
      <c r="B532" s="163" t="s">
        <v>84</v>
      </c>
      <c r="C532" s="340"/>
      <c r="D532" s="163">
        <f>PRODUCT(Лист1!G225,$A$283)</f>
        <v>0.3664</v>
      </c>
      <c r="E532" s="312">
        <f>Лист1!H225</f>
        <v>0</v>
      </c>
      <c r="F532" s="245">
        <f t="shared" si="19"/>
        <v>0</v>
      </c>
    </row>
    <row r="533" spans="1:6" hidden="1" x14ac:dyDescent="0.25">
      <c r="A533" s="210" t="str">
        <f ca="1">'таланты+инициативы0,2672'!A466</f>
        <v>Флеш накопители  16 гб</v>
      </c>
      <c r="B533" s="163" t="s">
        <v>84</v>
      </c>
      <c r="C533" s="340"/>
      <c r="D533" s="163">
        <f>PRODUCT(Лист1!G226,$A$283)</f>
        <v>0.3664</v>
      </c>
      <c r="E533" s="312">
        <f>Лист1!H226</f>
        <v>0</v>
      </c>
      <c r="F533" s="245">
        <f t="shared" ref="F533" si="20">D533*E533</f>
        <v>0</v>
      </c>
    </row>
    <row r="534" spans="1:6" ht="18.75" x14ac:dyDescent="0.25">
      <c r="A534" s="796" t="s">
        <v>31</v>
      </c>
      <c r="B534" s="829"/>
      <c r="C534" s="829"/>
      <c r="D534" s="829"/>
      <c r="E534" s="797"/>
      <c r="F534" s="283">
        <f>SUM(F287:F533)</f>
        <v>229617.38300800003</v>
      </c>
    </row>
    <row r="535" spans="1:6" x14ac:dyDescent="0.25">
      <c r="E535" s="162"/>
    </row>
  </sheetData>
  <mergeCells count="144">
    <mergeCell ref="B33:C33"/>
    <mergeCell ref="B34:C34"/>
    <mergeCell ref="A26:H26"/>
    <mergeCell ref="I22:I23"/>
    <mergeCell ref="A22:A23"/>
    <mergeCell ref="B22:B23"/>
    <mergeCell ref="D22:D23"/>
    <mergeCell ref="E22:E23"/>
    <mergeCell ref="F22:F23"/>
    <mergeCell ref="B31:C31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  <mergeCell ref="A220:B220"/>
    <mergeCell ref="A223:B223"/>
    <mergeCell ref="A534:E534"/>
    <mergeCell ref="B3:G3"/>
    <mergeCell ref="E53:E54"/>
    <mergeCell ref="F53:F54"/>
    <mergeCell ref="A55:B55"/>
    <mergeCell ref="A51:F51"/>
    <mergeCell ref="A53:B54"/>
    <mergeCell ref="D53:D54"/>
    <mergeCell ref="G53:G54"/>
    <mergeCell ref="A282:F282"/>
    <mergeCell ref="A283:F283"/>
    <mergeCell ref="A284:A285"/>
    <mergeCell ref="B284:B285"/>
    <mergeCell ref="D284:D285"/>
    <mergeCell ref="E284:E285"/>
    <mergeCell ref="F284:F285"/>
    <mergeCell ref="A242:F242"/>
    <mergeCell ref="A219:B219"/>
    <mergeCell ref="A35:H35"/>
    <mergeCell ref="A36:A38"/>
    <mergeCell ref="A221:B221"/>
    <mergeCell ref="A222:B222"/>
    <mergeCell ref="A281:E281"/>
    <mergeCell ref="A245:A246"/>
    <mergeCell ref="B245:B246"/>
    <mergeCell ref="D245:D246"/>
    <mergeCell ref="E245:E246"/>
    <mergeCell ref="F245:F246"/>
    <mergeCell ref="A234:F234"/>
    <mergeCell ref="A235:F235"/>
    <mergeCell ref="A237:A238"/>
    <mergeCell ref="B237:B238"/>
    <mergeCell ref="D237:D238"/>
    <mergeCell ref="E237:E238"/>
    <mergeCell ref="F237:F238"/>
    <mergeCell ref="A243:F243"/>
    <mergeCell ref="A1:H1"/>
    <mergeCell ref="A18:B18"/>
    <mergeCell ref="A15:F15"/>
    <mergeCell ref="A7:E7"/>
    <mergeCell ref="A17:F17"/>
    <mergeCell ref="G19:G21"/>
    <mergeCell ref="I19:I21"/>
    <mergeCell ref="A19:A21"/>
    <mergeCell ref="B19:B21"/>
    <mergeCell ref="D19:D21"/>
    <mergeCell ref="D9:E9"/>
    <mergeCell ref="D10:E10"/>
    <mergeCell ref="D11:E11"/>
    <mergeCell ref="D12:E12"/>
    <mergeCell ref="D13:E13"/>
    <mergeCell ref="D8:E8"/>
    <mergeCell ref="E19:F19"/>
    <mergeCell ref="G226:G227"/>
    <mergeCell ref="G237:G238"/>
    <mergeCell ref="A4:E4"/>
    <mergeCell ref="A5:E5"/>
    <mergeCell ref="A6:E6"/>
    <mergeCell ref="G22:G23"/>
    <mergeCell ref="A224:F224"/>
    <mergeCell ref="A226:A227"/>
    <mergeCell ref="B226:B227"/>
    <mergeCell ref="D226:D227"/>
    <mergeCell ref="E226:E227"/>
    <mergeCell ref="F226:F227"/>
    <mergeCell ref="A204:E204"/>
    <mergeCell ref="A214:F214"/>
    <mergeCell ref="D217:D218"/>
    <mergeCell ref="B36:C38"/>
    <mergeCell ref="D36:E36"/>
    <mergeCell ref="D37:D38"/>
    <mergeCell ref="B176:C176"/>
    <mergeCell ref="A193:F193"/>
    <mergeCell ref="A195:A196"/>
    <mergeCell ref="B195:B196"/>
    <mergeCell ref="D195:D196"/>
    <mergeCell ref="E195:E196"/>
    <mergeCell ref="H183:H184"/>
    <mergeCell ref="G183:G184"/>
    <mergeCell ref="F183:F184"/>
    <mergeCell ref="E183:E184"/>
    <mergeCell ref="D183:D184"/>
    <mergeCell ref="D182:H182"/>
    <mergeCell ref="A181:H181"/>
    <mergeCell ref="G217:G218"/>
    <mergeCell ref="A206:F206"/>
    <mergeCell ref="B185:C185"/>
    <mergeCell ref="A217:B218"/>
    <mergeCell ref="B182:C184"/>
    <mergeCell ref="A182:A184"/>
    <mergeCell ref="F195:F196"/>
    <mergeCell ref="A172:H172"/>
    <mergeCell ref="A173:A175"/>
    <mergeCell ref="B173:C175"/>
    <mergeCell ref="D173:F173"/>
    <mergeCell ref="D174:D175"/>
    <mergeCell ref="A44:B44"/>
    <mergeCell ref="A45:B45"/>
    <mergeCell ref="A46:B46"/>
    <mergeCell ref="A47:B47"/>
    <mergeCell ref="A48:B48"/>
    <mergeCell ref="A50:F50"/>
    <mergeCell ref="B161:B163"/>
    <mergeCell ref="D161:D163"/>
    <mergeCell ref="E161:F161"/>
    <mergeCell ref="G161:G163"/>
    <mergeCell ref="A159:F159"/>
    <mergeCell ref="E174:E175"/>
    <mergeCell ref="F174:F175"/>
    <mergeCell ref="A170:F170"/>
    <mergeCell ref="I161:I163"/>
    <mergeCell ref="B164:B165"/>
    <mergeCell ref="D164:D165"/>
    <mergeCell ref="E164:E165"/>
    <mergeCell ref="F164:F165"/>
    <mergeCell ref="G164:G165"/>
    <mergeCell ref="I164:I165"/>
    <mergeCell ref="A164:A165"/>
    <mergeCell ref="F37:F38"/>
    <mergeCell ref="B39:C39"/>
    <mergeCell ref="B40:C40"/>
    <mergeCell ref="B41:C41"/>
    <mergeCell ref="E37:E38"/>
  </mergeCells>
  <printOptions horizontalCentered="1" verticalCentered="1"/>
  <pageMargins left="0.51181102362204722" right="0.31496062992125984" top="0.55118110236220474" bottom="0.55118110236220474" header="0" footer="0"/>
  <pageSetup paperSize="9" scale="41" fitToHeight="4" orientation="portrait" r:id="rId1"/>
  <rowBreaks count="2" manualBreakCount="2">
    <brk id="158" max="16383" man="1"/>
    <brk id="234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E365"/>
  <sheetViews>
    <sheetView view="pageBreakPreview" workbookViewId="0">
      <selection activeCell="E158" sqref="A1:E365"/>
    </sheetView>
  </sheetViews>
  <sheetFormatPr defaultColWidth="8.875" defaultRowHeight="15" x14ac:dyDescent="0.25"/>
  <cols>
    <col min="1" max="1" width="34.125" style="2" customWidth="1"/>
    <col min="2" max="2" width="22.75" style="2" customWidth="1"/>
    <col min="3" max="3" width="48.25" style="2" customWidth="1"/>
    <col min="4" max="4" width="17.5" style="2" customWidth="1"/>
    <col min="5" max="5" width="15.375" style="2" customWidth="1"/>
    <col min="6" max="16384" width="8.875" style="2"/>
  </cols>
  <sheetData>
    <row r="1" spans="1:5" ht="189" customHeight="1" x14ac:dyDescent="0.25">
      <c r="D1" s="761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21.10. 2022 № 73-ОС "О внесении изменений в приказ от 23.12.2021 № 93-ос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761"/>
    </row>
    <row r="3" spans="1:5" x14ac:dyDescent="0.25">
      <c r="A3" s="762" t="s">
        <v>126</v>
      </c>
      <c r="B3" s="762"/>
      <c r="C3" s="762"/>
      <c r="D3" s="762"/>
      <c r="E3" s="762"/>
    </row>
    <row r="4" spans="1:5" ht="12.6" customHeight="1" x14ac:dyDescent="0.25">
      <c r="A4" s="763" t="s">
        <v>150</v>
      </c>
      <c r="B4" s="763"/>
      <c r="C4" s="763"/>
      <c r="D4" s="763"/>
      <c r="E4" s="763"/>
    </row>
    <row r="5" spans="1:5" ht="45" x14ac:dyDescent="0.25">
      <c r="A5" s="127" t="s">
        <v>127</v>
      </c>
      <c r="B5" s="66" t="s">
        <v>128</v>
      </c>
      <c r="C5" s="127" t="s">
        <v>129</v>
      </c>
      <c r="D5" s="127" t="s">
        <v>130</v>
      </c>
      <c r="E5" s="127" t="s">
        <v>131</v>
      </c>
    </row>
    <row r="6" spans="1:5" x14ac:dyDescent="0.25">
      <c r="A6" s="128">
        <v>1</v>
      </c>
      <c r="B6" s="128">
        <v>2</v>
      </c>
      <c r="C6" s="128">
        <v>3</v>
      </c>
      <c r="D6" s="128">
        <v>4</v>
      </c>
      <c r="E6" s="128">
        <v>5</v>
      </c>
    </row>
    <row r="7" spans="1:5" ht="19.5" customHeight="1" x14ac:dyDescent="0.25">
      <c r="A7" s="838" t="s">
        <v>125</v>
      </c>
      <c r="B7" s="770" t="s">
        <v>154</v>
      </c>
      <c r="C7" s="764" t="s">
        <v>132</v>
      </c>
      <c r="D7" s="765"/>
      <c r="E7" s="766"/>
    </row>
    <row r="8" spans="1:5" ht="14.45" customHeight="1" x14ac:dyDescent="0.25">
      <c r="A8" s="838"/>
      <c r="B8" s="770"/>
      <c r="C8" s="767" t="s">
        <v>133</v>
      </c>
      <c r="D8" s="768"/>
      <c r="E8" s="769"/>
    </row>
    <row r="9" spans="1:5" ht="12" customHeight="1" x14ac:dyDescent="0.25">
      <c r="A9" s="838"/>
      <c r="B9" s="770"/>
      <c r="C9" s="106" t="s">
        <v>140</v>
      </c>
      <c r="D9" s="129" t="s">
        <v>134</v>
      </c>
      <c r="E9" s="225">
        <f>'таланты+инициативы0,2672'!D25</f>
        <v>1.4963199999999999</v>
      </c>
    </row>
    <row r="10" spans="1:5" ht="12" customHeight="1" x14ac:dyDescent="0.25">
      <c r="A10" s="838"/>
      <c r="B10" s="770"/>
      <c r="C10" s="106" t="s">
        <v>93</v>
      </c>
      <c r="D10" s="130" t="s">
        <v>134</v>
      </c>
      <c r="E10" s="225">
        <f>'таланты+инициативы0,2672'!D24</f>
        <v>0.26719999999999999</v>
      </c>
    </row>
    <row r="11" spans="1:5" ht="12" customHeight="1" x14ac:dyDescent="0.25">
      <c r="A11" s="838"/>
      <c r="B11" s="770"/>
      <c r="C11" s="785" t="s">
        <v>144</v>
      </c>
      <c r="D11" s="786"/>
      <c r="E11" s="787"/>
    </row>
    <row r="12" spans="1:5" ht="15.75" customHeight="1" x14ac:dyDescent="0.25">
      <c r="A12" s="838"/>
      <c r="B12" s="770"/>
      <c r="C12" s="117" t="s">
        <v>308</v>
      </c>
      <c r="D12" s="98" t="s">
        <v>39</v>
      </c>
      <c r="E12" s="224">
        <f>'таланты+инициативы0,2672'!E48</f>
        <v>0.26719999999999999</v>
      </c>
    </row>
    <row r="13" spans="1:5" ht="12" customHeight="1" x14ac:dyDescent="0.25">
      <c r="A13" s="838"/>
      <c r="B13" s="770"/>
      <c r="C13" s="117" t="s">
        <v>309</v>
      </c>
      <c r="D13" s="98" t="s">
        <v>39</v>
      </c>
      <c r="E13" s="224">
        <f>'таланты+инициативы0,2672'!E49</f>
        <v>0.26719999999999999</v>
      </c>
    </row>
    <row r="14" spans="1:5" ht="13.5" customHeight="1" x14ac:dyDescent="0.25">
      <c r="A14" s="838"/>
      <c r="B14" s="770"/>
      <c r="C14" s="117" t="s">
        <v>310</v>
      </c>
      <c r="D14" s="98" t="s">
        <v>39</v>
      </c>
      <c r="E14" s="224">
        <f>'таланты+инициативы0,2672'!E50</f>
        <v>0.26719999999999999</v>
      </c>
    </row>
    <row r="15" spans="1:5" ht="22.9" customHeight="1" x14ac:dyDescent="0.25">
      <c r="A15" s="838"/>
      <c r="B15" s="770"/>
      <c r="C15" s="791" t="s">
        <v>145</v>
      </c>
      <c r="D15" s="792"/>
      <c r="E15" s="793"/>
    </row>
    <row r="16" spans="1:5" ht="18.75" customHeight="1" x14ac:dyDescent="0.25">
      <c r="A16" s="838"/>
      <c r="B16" s="770"/>
      <c r="C16" s="125" t="str">
        <f>'таланты+инициативы0,2672'!A58</f>
        <v>Участие подростков Северо-Енисейского района в Дельфийских играх</v>
      </c>
      <c r="D16" s="367" t="s">
        <v>84</v>
      </c>
      <c r="E16" s="90">
        <f>'таланты+инициативы0,2672'!D58</f>
        <v>0</v>
      </c>
    </row>
    <row r="17" spans="1:5" ht="12" customHeight="1" x14ac:dyDescent="0.25">
      <c r="A17" s="838"/>
      <c r="B17" s="770"/>
      <c r="C17" s="125" t="str">
        <f>'таланты+инициативы0,2672'!A59</f>
        <v>Проезд участника</v>
      </c>
      <c r="D17" s="540" t="s">
        <v>84</v>
      </c>
      <c r="E17" s="90">
        <f>'таланты+инициативы0,2672'!D59</f>
        <v>1</v>
      </c>
    </row>
    <row r="18" spans="1:5" ht="12" customHeight="1" x14ac:dyDescent="0.25">
      <c r="A18" s="838"/>
      <c r="B18" s="770"/>
      <c r="C18" s="125" t="str">
        <f>'таланты+инициативы0,2672'!A60</f>
        <v>Суточные подростки</v>
      </c>
      <c r="D18" s="540" t="s">
        <v>84</v>
      </c>
      <c r="E18" s="90">
        <f>'таланты+инициативы0,2672'!D60</f>
        <v>3</v>
      </c>
    </row>
    <row r="19" spans="1:5" ht="12" customHeight="1" x14ac:dyDescent="0.25">
      <c r="A19" s="838"/>
      <c r="B19" s="770"/>
      <c r="C19" s="125" t="str">
        <f>'таланты+инициативы0,2672'!A61</f>
        <v>Участие подростков Северо-Енисейского района в ТИМ "Юниор"</v>
      </c>
      <c r="D19" s="540" t="s">
        <v>84</v>
      </c>
      <c r="E19" s="90">
        <f>'таланты+инициативы0,2672'!D61</f>
        <v>0</v>
      </c>
    </row>
    <row r="20" spans="1:5" ht="12" customHeight="1" x14ac:dyDescent="0.25">
      <c r="A20" s="838"/>
      <c r="B20" s="770"/>
      <c r="C20" s="125" t="str">
        <f>'таланты+инициативы0,2672'!A62</f>
        <v>Проезд подростков 10 детей</v>
      </c>
      <c r="D20" s="540" t="s">
        <v>84</v>
      </c>
      <c r="E20" s="90">
        <f>'таланты+инициативы0,2672'!D62</f>
        <v>19</v>
      </c>
    </row>
    <row r="21" spans="1:5" ht="12" customHeight="1" x14ac:dyDescent="0.25">
      <c r="A21" s="838"/>
      <c r="B21" s="770"/>
      <c r="C21" s="125" t="str">
        <f>'таланты+инициативы0,2672'!A63</f>
        <v>Суточные подростки</v>
      </c>
      <c r="D21" s="540" t="s">
        <v>84</v>
      </c>
      <c r="E21" s="90">
        <f>'таланты+инициативы0,2672'!D63</f>
        <v>38</v>
      </c>
    </row>
    <row r="22" spans="1:5" ht="12" customHeight="1" x14ac:dyDescent="0.25">
      <c r="A22" s="838"/>
      <c r="B22" s="770"/>
      <c r="C22" s="125" t="str">
        <f>'таланты+инициативы0,2672'!A64</f>
        <v>Проживание подростки</v>
      </c>
      <c r="D22" s="540" t="s">
        <v>84</v>
      </c>
      <c r="E22" s="90">
        <f>'таланты+инициативы0,2672'!D64</f>
        <v>20</v>
      </c>
    </row>
    <row r="23" spans="1:5" ht="12" customHeight="1" x14ac:dyDescent="0.25">
      <c r="A23" s="838"/>
      <c r="B23" s="770"/>
      <c r="C23" s="125" t="str">
        <f>'таланты+инициативы0,2672'!A65</f>
        <v>Участие молодежи Северо-Енисейского района в ТИМ "Бирюса"</v>
      </c>
      <c r="D23" s="540" t="s">
        <v>84</v>
      </c>
      <c r="E23" s="90">
        <f>'таланты+инициативы0,2672'!D65</f>
        <v>0</v>
      </c>
    </row>
    <row r="24" spans="1:5" ht="12" customHeight="1" x14ac:dyDescent="0.25">
      <c r="A24" s="838"/>
      <c r="B24" s="770"/>
      <c r="C24" s="125" t="str">
        <f>'таланты+инициативы0,2672'!A66</f>
        <v>Проезд 5 участников</v>
      </c>
      <c r="D24" s="540" t="s">
        <v>84</v>
      </c>
      <c r="E24" s="90">
        <f>'таланты+инициативы0,2672'!D66</f>
        <v>10</v>
      </c>
    </row>
    <row r="25" spans="1:5" ht="12" customHeight="1" x14ac:dyDescent="0.25">
      <c r="A25" s="838"/>
      <c r="B25" s="770"/>
      <c r="C25" s="125" t="str">
        <f>'таланты+инициативы0,2672'!A67</f>
        <v>Суточные</v>
      </c>
      <c r="D25" s="540" t="s">
        <v>84</v>
      </c>
      <c r="E25" s="90">
        <f>'таланты+инициативы0,2672'!D67</f>
        <v>20</v>
      </c>
    </row>
    <row r="26" spans="1:5" ht="12" customHeight="1" x14ac:dyDescent="0.25">
      <c r="A26" s="838"/>
      <c r="B26" s="770"/>
      <c r="C26" s="125" t="str">
        <f>'таланты+инициативы0,2672'!A68</f>
        <v>Проживание</v>
      </c>
      <c r="D26" s="540" t="s">
        <v>84</v>
      </c>
      <c r="E26" s="90">
        <f>'таланты+инициативы0,2672'!D68</f>
        <v>10</v>
      </c>
    </row>
    <row r="27" spans="1:5" ht="12" customHeight="1" x14ac:dyDescent="0.25">
      <c r="A27" s="838"/>
      <c r="B27" s="770"/>
      <c r="C27" s="125" t="str">
        <f>'таланты+инициативы0,2672'!A69</f>
        <v>Участие молодежи Северо-Енисейского района в инфраструктурном проекте "Новый фарватер" (г. Лесосибирск)</v>
      </c>
      <c r="D27" s="540" t="s">
        <v>84</v>
      </c>
      <c r="E27" s="90">
        <f>'таланты+инициативы0,2672'!D69</f>
        <v>0</v>
      </c>
    </row>
    <row r="28" spans="1:5" ht="12" customHeight="1" x14ac:dyDescent="0.25">
      <c r="A28" s="838"/>
      <c r="B28" s="770"/>
      <c r="C28" s="125" t="str">
        <f>'таланты+инициативы0,2672'!A70</f>
        <v>Проезд 4 детей</v>
      </c>
      <c r="D28" s="540" t="s">
        <v>84</v>
      </c>
      <c r="E28" s="90">
        <f>'таланты+инициативы0,2672'!D70</f>
        <v>8</v>
      </c>
    </row>
    <row r="29" spans="1:5" ht="12" customHeight="1" x14ac:dyDescent="0.25">
      <c r="A29" s="838"/>
      <c r="B29" s="770"/>
      <c r="C29" s="125" t="str">
        <f>'таланты+инициативы0,2672'!A71</f>
        <v>Суточные</v>
      </c>
      <c r="D29" s="540" t="s">
        <v>84</v>
      </c>
      <c r="E29" s="90">
        <f>'таланты+инициативы0,2672'!D71</f>
        <v>16</v>
      </c>
    </row>
    <row r="30" spans="1:5" ht="12" customHeight="1" x14ac:dyDescent="0.25">
      <c r="A30" s="838"/>
      <c r="B30" s="770"/>
      <c r="C30" s="125" t="str">
        <f>'таланты+инициативы0,2672'!A72</f>
        <v>Проживание</v>
      </c>
      <c r="D30" s="540" t="s">
        <v>84</v>
      </c>
      <c r="E30" s="90">
        <f>'таланты+инициативы0,2672'!D72</f>
        <v>8</v>
      </c>
    </row>
    <row r="31" spans="1:5" ht="12" customHeight="1" x14ac:dyDescent="0.25">
      <c r="A31" s="838"/>
      <c r="B31" s="770"/>
      <c r="C31" s="125" t="str">
        <f>'таланты+инициативы0,2672'!A73</f>
        <v>Участие в смотре-конкурсе по строевой подготовке в гор Красноярске</v>
      </c>
      <c r="D31" s="540" t="s">
        <v>84</v>
      </c>
      <c r="E31" s="90">
        <f>'таланты+инициативы0,2672'!D73</f>
        <v>0</v>
      </c>
    </row>
    <row r="32" spans="1:5" ht="12" customHeight="1" x14ac:dyDescent="0.25">
      <c r="A32" s="838"/>
      <c r="B32" s="770"/>
      <c r="C32" s="125" t="str">
        <f>'таланты+инициативы0,2672'!A74</f>
        <v>проживание участников</v>
      </c>
      <c r="D32" s="540" t="s">
        <v>84</v>
      </c>
      <c r="E32" s="90">
        <f>'таланты+инициативы0,2672'!D74</f>
        <v>3</v>
      </c>
    </row>
    <row r="33" spans="1:5" ht="12" customHeight="1" x14ac:dyDescent="0.25">
      <c r="A33" s="838"/>
      <c r="B33" s="770"/>
      <c r="C33" s="125" t="str">
        <f>'таланты+инициативы0,2672'!A75</f>
        <v xml:space="preserve">Проезд участников </v>
      </c>
      <c r="D33" s="540" t="s">
        <v>84</v>
      </c>
      <c r="E33" s="90">
        <f>'таланты+инициативы0,2672'!D75</f>
        <v>3</v>
      </c>
    </row>
    <row r="34" spans="1:5" ht="12" customHeight="1" x14ac:dyDescent="0.25">
      <c r="A34" s="838"/>
      <c r="B34" s="770"/>
      <c r="C34" s="125" t="str">
        <f>'таланты+инициативы0,2672'!A76</f>
        <v>суточные участников</v>
      </c>
      <c r="D34" s="540" t="s">
        <v>84</v>
      </c>
      <c r="E34" s="90">
        <f>'таланты+инициативы0,2672'!D76</f>
        <v>3</v>
      </c>
    </row>
    <row r="35" spans="1:5" ht="12" customHeight="1" x14ac:dyDescent="0.25">
      <c r="A35" s="838"/>
      <c r="B35" s="770"/>
      <c r="C35" s="125" t="str">
        <f>'таланты+инициативы0,2672'!A77</f>
        <v>черенок для граблей</v>
      </c>
      <c r="D35" s="540" t="s">
        <v>84</v>
      </c>
      <c r="E35" s="90">
        <f>'таланты+инициативы0,2672'!D77</f>
        <v>10</v>
      </c>
    </row>
    <row r="36" spans="1:5" ht="12" customHeight="1" x14ac:dyDescent="0.25">
      <c r="A36" s="838"/>
      <c r="B36" s="770"/>
      <c r="C36" s="125" t="str">
        <f>'таланты+инициативы0,2672'!A78</f>
        <v>грабли</v>
      </c>
      <c r="D36" s="540" t="s">
        <v>84</v>
      </c>
      <c r="E36" s="90">
        <f>'таланты+инициативы0,2672'!D78</f>
        <v>5</v>
      </c>
    </row>
    <row r="37" spans="1:5" ht="12" customHeight="1" x14ac:dyDescent="0.25">
      <c r="A37" s="838"/>
      <c r="B37" s="770"/>
      <c r="C37" s="125" t="str">
        <f>'таланты+инициативы0,2672'!A79</f>
        <v>провод аккустический</v>
      </c>
      <c r="D37" s="540" t="s">
        <v>84</v>
      </c>
      <c r="E37" s="90">
        <f>'таланты+инициативы0,2672'!D79</f>
        <v>50</v>
      </c>
    </row>
    <row r="38" spans="1:5" ht="12" customHeight="1" x14ac:dyDescent="0.25">
      <c r="A38" s="838"/>
      <c r="B38" s="770"/>
      <c r="C38" s="125" t="str">
        <f>'таланты+инициативы0,2672'!A80</f>
        <v xml:space="preserve">Футболка оверсайз «Чистая соль», черная </v>
      </c>
      <c r="D38" s="540" t="s">
        <v>84</v>
      </c>
      <c r="E38" s="90">
        <f>'таланты+инициативы0,2672'!D80</f>
        <v>14</v>
      </c>
    </row>
    <row r="39" spans="1:5" ht="12" customHeight="1" x14ac:dyDescent="0.25">
      <c r="A39" s="838"/>
      <c r="B39" s="770"/>
      <c r="C39" s="125" t="str">
        <f>'таланты+инициативы0,2672'!A81</f>
        <v>Расходные материалы к мероприятиям</v>
      </c>
      <c r="D39" s="540" t="s">
        <v>84</v>
      </c>
      <c r="E39" s="90">
        <f>'таланты+инициативы0,2672'!D81</f>
        <v>0</v>
      </c>
    </row>
    <row r="40" spans="1:5" ht="12" customHeight="1" x14ac:dyDescent="0.25">
      <c r="A40" s="838"/>
      <c r="B40" s="770"/>
      <c r="C40" s="125" t="str">
        <f>'таланты+инициативы0,2672'!A82</f>
        <v>Банер "молодежная премия"</v>
      </c>
      <c r="D40" s="540" t="s">
        <v>84</v>
      </c>
      <c r="E40" s="90">
        <f>'таланты+инициативы0,2672'!D82</f>
        <v>1</v>
      </c>
    </row>
    <row r="41" spans="1:5" ht="12" customHeight="1" x14ac:dyDescent="0.25">
      <c r="A41" s="838"/>
      <c r="B41" s="770"/>
      <c r="C41" s="125" t="str">
        <f>'таланты+инициативы0,2672'!A83</f>
        <v>ТОС</v>
      </c>
      <c r="D41" s="540" t="s">
        <v>84</v>
      </c>
      <c r="E41" s="90">
        <f>'таланты+инициативы0,2672'!D83</f>
        <v>0</v>
      </c>
    </row>
    <row r="42" spans="1:5" ht="12" customHeight="1" x14ac:dyDescent="0.25">
      <c r="A42" s="838"/>
      <c r="B42" s="770"/>
      <c r="C42" s="125" t="str">
        <f>'таланты+инициативы0,2672'!A84</f>
        <v>Пена монт проф Hardy 65 всесез.65л 1000мл клап.надеж.фикс A1487Z</v>
      </c>
      <c r="D42" s="540" t="s">
        <v>84</v>
      </c>
      <c r="E42" s="90">
        <f>'таланты+инициативы0,2672'!D84</f>
        <v>3</v>
      </c>
    </row>
    <row r="43" spans="1:5" ht="12" customHeight="1" x14ac:dyDescent="0.25">
      <c r="A43" s="838"/>
      <c r="B43" s="770"/>
      <c r="C43" s="125" t="str">
        <f>'таланты+инициативы0,2672'!A85</f>
        <v>ПРОЕКТ ЖИВАЯ ПАМЯТЬ</v>
      </c>
      <c r="D43" s="540" t="s">
        <v>84</v>
      </c>
      <c r="E43" s="90">
        <f>'таланты+инициативы0,2672'!D85</f>
        <v>0</v>
      </c>
    </row>
    <row r="44" spans="1:5" ht="12" customHeight="1" x14ac:dyDescent="0.25">
      <c r="A44" s="838"/>
      <c r="B44" s="770"/>
      <c r="C44" s="125" t="str">
        <f>'таланты+инициативы0,2672'!A86</f>
        <v>Серебрянка 100гр</v>
      </c>
      <c r="D44" s="540" t="s">
        <v>84</v>
      </c>
      <c r="E44" s="90">
        <f>'таланты+инициативы0,2672'!D86</f>
        <v>5</v>
      </c>
    </row>
    <row r="45" spans="1:5" ht="12" customHeight="1" x14ac:dyDescent="0.25">
      <c r="A45" s="838"/>
      <c r="B45" s="770"/>
      <c r="C45" s="125" t="str">
        <f>'таланты+инициативы0,2672'!A87</f>
        <v>Перчатки х/б 10 кл. 5 нитей пвх Точка Стандарт/10/250/</v>
      </c>
      <c r="D45" s="540" t="s">
        <v>84</v>
      </c>
      <c r="E45" s="90">
        <f>'таланты+инициативы0,2672'!D87</f>
        <v>100</v>
      </c>
    </row>
    <row r="46" spans="1:5" ht="12" customHeight="1" x14ac:dyDescent="0.25">
      <c r="A46" s="838"/>
      <c r="B46" s="770"/>
      <c r="C46" s="125" t="str">
        <f>'таланты+инициативы0,2672'!A88</f>
        <v>ЭкоПолимер Мешки д/мус.особопр 120л*25шт 70*110 40 мкм ПВД</v>
      </c>
      <c r="D46" s="540" t="s">
        <v>84</v>
      </c>
      <c r="E46" s="90">
        <f>'таланты+инициативы0,2672'!D88</f>
        <v>7</v>
      </c>
    </row>
    <row r="47" spans="1:5" ht="12" customHeight="1" x14ac:dyDescent="0.25">
      <c r="A47" s="838"/>
      <c r="B47" s="770"/>
      <c r="C47" s="125" t="str">
        <f>'таланты+инициативы0,2672'!A89</f>
        <v>Эмаль ПФ-115 алк.красная 2,7кг Farbitex Ф3463160</v>
      </c>
      <c r="D47" s="540" t="s">
        <v>84</v>
      </c>
      <c r="E47" s="90">
        <f>'таланты+инициативы0,2672'!D89</f>
        <v>4</v>
      </c>
    </row>
    <row r="48" spans="1:5" ht="12" customHeight="1" x14ac:dyDescent="0.25">
      <c r="A48" s="838"/>
      <c r="B48" s="770"/>
      <c r="C48" s="125" t="str">
        <f>'таланты+инициативы0,2672'!A90</f>
        <v>Растворитель 646 Вика 5л</v>
      </c>
      <c r="D48" s="540" t="s">
        <v>84</v>
      </c>
      <c r="E48" s="90">
        <f>'таланты+инициативы0,2672'!D90</f>
        <v>2</v>
      </c>
    </row>
    <row r="49" spans="1:5" ht="12" customHeight="1" x14ac:dyDescent="0.25">
      <c r="A49" s="838"/>
      <c r="B49" s="770"/>
      <c r="C49" s="125" t="str">
        <f>'таланты+инициативы0,2672'!A91</f>
        <v>Кисть Акор "Эмали" КФ-50*12 натур.щетина /10/380/</v>
      </c>
      <c r="D49" s="540" t="s">
        <v>84</v>
      </c>
      <c r="E49" s="90">
        <f>'таланты+инициативы0,2672'!D91</f>
        <v>7</v>
      </c>
    </row>
    <row r="50" spans="1:5" ht="12" customHeight="1" x14ac:dyDescent="0.25">
      <c r="A50" s="838"/>
      <c r="B50" s="770"/>
      <c r="C50" s="125" t="str">
        <f>'таланты+инициативы0,2672'!A92</f>
        <v>Кисть Акор "Эмали" КФ-35*10 натур.щетина /10/660/</v>
      </c>
      <c r="D50" s="540" t="s">
        <v>84</v>
      </c>
      <c r="E50" s="90">
        <f>'таланты+инициативы0,2672'!D92</f>
        <v>4</v>
      </c>
    </row>
    <row r="51" spans="1:5" ht="12" customHeight="1" x14ac:dyDescent="0.25">
      <c r="A51" s="838"/>
      <c r="B51" s="770"/>
      <c r="C51" s="125" t="str">
        <f>'таланты+инициативы0,2672'!A93</f>
        <v>Кисть Акор "Эмали" КФ-70*12 натур.щетина /10/260/</v>
      </c>
      <c r="D51" s="540" t="s">
        <v>84</v>
      </c>
      <c r="E51" s="90">
        <f>'таланты+инициативы0,2672'!D93</f>
        <v>6</v>
      </c>
    </row>
    <row r="52" spans="1:5" ht="12" customHeight="1" x14ac:dyDescent="0.25">
      <c r="A52" s="838"/>
      <c r="B52" s="770"/>
      <c r="C52" s="125" t="str">
        <f>'таланты+инициативы0,2672'!A94</f>
        <v>Ванночка малярная 37*34см /10/50/</v>
      </c>
      <c r="D52" s="540" t="s">
        <v>84</v>
      </c>
      <c r="E52" s="90">
        <f>'таланты+инициативы0,2672'!D94</f>
        <v>4</v>
      </c>
    </row>
    <row r="53" spans="1:5" ht="12" customHeight="1" x14ac:dyDescent="0.25">
      <c r="A53" s="838"/>
      <c r="B53" s="770"/>
      <c r="C53" s="125" t="str">
        <f>'таланты+инициативы0,2672'!A95</f>
        <v>Олифа (канистра) 5,0л Farbitex (1) Ф9009000</v>
      </c>
      <c r="D53" s="540" t="s">
        <v>84</v>
      </c>
      <c r="E53" s="90">
        <f>'таланты+инициативы0,2672'!D95</f>
        <v>2</v>
      </c>
    </row>
    <row r="54" spans="1:5" ht="12" customHeight="1" x14ac:dyDescent="0.25">
      <c r="A54" s="838"/>
      <c r="B54" s="770"/>
      <c r="C54" s="125" t="str">
        <f>'таланты+инициативы0,2672'!A96</f>
        <v>Магнитный баннер</v>
      </c>
      <c r="D54" s="540" t="s">
        <v>84</v>
      </c>
      <c r="E54" s="90">
        <f>'таланты+инициативы0,2672'!D96</f>
        <v>1</v>
      </c>
    </row>
    <row r="55" spans="1:5" ht="12" customHeight="1" x14ac:dyDescent="0.25">
      <c r="A55" s="838"/>
      <c r="B55" s="770"/>
      <c r="C55" s="125" t="str">
        <f>'таланты+инициативы0,2672'!A97</f>
        <v>Флажок бумажный на палочке</v>
      </c>
      <c r="D55" s="540" t="s">
        <v>84</v>
      </c>
      <c r="E55" s="90">
        <f>'таланты+инициативы0,2672'!D97</f>
        <v>200</v>
      </c>
    </row>
    <row r="56" spans="1:5" ht="12" customHeight="1" x14ac:dyDescent="0.25">
      <c r="A56" s="838"/>
      <c r="B56" s="770"/>
      <c r="C56" s="125" t="str">
        <f>'таланты+инициативы0,2672'!A98</f>
        <v>Подставки по сувенир с шильдом и гравировкой</v>
      </c>
      <c r="D56" s="540" t="s">
        <v>84</v>
      </c>
      <c r="E56" s="90">
        <f>'таланты+инициативы0,2672'!D98</f>
        <v>3</v>
      </c>
    </row>
    <row r="57" spans="1:5" ht="12" customHeight="1" x14ac:dyDescent="0.25">
      <c r="A57" s="838"/>
      <c r="B57" s="770"/>
      <c r="C57" s="125" t="str">
        <f>'таланты+инициативы0,2672'!A99</f>
        <v>Хэштег ПВХ, белый</v>
      </c>
      <c r="D57" s="540" t="s">
        <v>84</v>
      </c>
      <c r="E57" s="90">
        <f>'таланты+инициативы0,2672'!D99</f>
        <v>2</v>
      </c>
    </row>
    <row r="58" spans="1:5" ht="12" customHeight="1" x14ac:dyDescent="0.25">
      <c r="A58" s="838"/>
      <c r="B58" s="770"/>
      <c r="C58" s="125" t="str">
        <f>'таланты+инициативы0,2672'!A100</f>
        <v>Худи однотонное красное</v>
      </c>
      <c r="D58" s="540" t="s">
        <v>84</v>
      </c>
      <c r="E58" s="90">
        <f>'таланты+инициативы0,2672'!D100</f>
        <v>30</v>
      </c>
    </row>
    <row r="59" spans="1:5" ht="12" customHeight="1" x14ac:dyDescent="0.25">
      <c r="A59" s="838"/>
      <c r="B59" s="770"/>
      <c r="C59" s="125" t="str">
        <f>'таланты+инициативы0,2672'!A101</f>
        <v>Футболка однотонная красная</v>
      </c>
      <c r="D59" s="540" t="s">
        <v>84</v>
      </c>
      <c r="E59" s="90">
        <f>'таланты+инициативы0,2672'!D101</f>
        <v>30</v>
      </c>
    </row>
    <row r="60" spans="1:5" ht="12" customHeight="1" x14ac:dyDescent="0.25">
      <c r="A60" s="838"/>
      <c r="B60" s="770"/>
      <c r="C60" s="125" t="str">
        <f>'таланты+инициативы0,2672'!A102</f>
        <v>Искусственная трава ландшафтная 30 мм ширина 2 м</v>
      </c>
      <c r="D60" s="540" t="s">
        <v>84</v>
      </c>
      <c r="E60" s="90">
        <f>'таланты+инициативы0,2672'!D102</f>
        <v>25</v>
      </c>
    </row>
    <row r="61" spans="1:5" ht="12" customHeight="1" x14ac:dyDescent="0.25">
      <c r="A61" s="838"/>
      <c r="B61" s="770"/>
      <c r="C61" s="125" t="str">
        <f>'таланты+инициативы0,2672'!A103</f>
        <v>Наградная продукция к мероприям</v>
      </c>
      <c r="D61" s="540" t="s">
        <v>84</v>
      </c>
      <c r="E61" s="90">
        <f>'таланты+инициативы0,2672'!D103</f>
        <v>0</v>
      </c>
    </row>
    <row r="62" spans="1:5" ht="12" customHeight="1" x14ac:dyDescent="0.25">
      <c r="A62" s="838"/>
      <c r="B62" s="770"/>
      <c r="C62" s="125" t="str">
        <f>'таланты+инициативы0,2672'!A104</f>
        <v>наградные статуэтки</v>
      </c>
      <c r="D62" s="540" t="s">
        <v>84</v>
      </c>
      <c r="E62" s="90">
        <f>'таланты+инициативы0,2672'!D104</f>
        <v>12</v>
      </c>
    </row>
    <row r="63" spans="1:5" ht="12" customHeight="1" x14ac:dyDescent="0.25">
      <c r="A63" s="838"/>
      <c r="B63" s="770"/>
      <c r="C63" s="773" t="s">
        <v>135</v>
      </c>
      <c r="D63" s="774"/>
      <c r="E63" s="775"/>
    </row>
    <row r="64" spans="1:5" ht="12" customHeight="1" x14ac:dyDescent="0.25">
      <c r="A64" s="838"/>
      <c r="B64" s="770"/>
      <c r="C64" s="773" t="s">
        <v>136</v>
      </c>
      <c r="D64" s="774"/>
      <c r="E64" s="775"/>
    </row>
    <row r="65" spans="1:5" ht="12" customHeight="1" x14ac:dyDescent="0.25">
      <c r="A65" s="838"/>
      <c r="B65" s="770"/>
      <c r="C65" s="131" t="str">
        <f>'натур показатели патриотика'!C119</f>
        <v>Теплоэнергия</v>
      </c>
      <c r="D65" s="132" t="str">
        <f>'натур показатели патриотика'!D119</f>
        <v>Гкал</v>
      </c>
      <c r="E65" s="133">
        <f>'таланты+инициативы0,2672'!D146</f>
        <v>14.696</v>
      </c>
    </row>
    <row r="66" spans="1:5" ht="12" customHeight="1" x14ac:dyDescent="0.25">
      <c r="A66" s="838"/>
      <c r="B66" s="770"/>
      <c r="C66" s="131" t="str">
        <f>'натур показатели патриотика'!C120</f>
        <v xml:space="preserve">Водоснабжение </v>
      </c>
      <c r="D66" s="132" t="str">
        <f>'натур показатели патриотика'!D120</f>
        <v>м2</v>
      </c>
      <c r="E66" s="133">
        <f>'таланты+инициативы0,2672'!D147</f>
        <v>28.403359999999999</v>
      </c>
    </row>
    <row r="67" spans="1:5" ht="12" customHeight="1" x14ac:dyDescent="0.25">
      <c r="A67" s="838"/>
      <c r="B67" s="770"/>
      <c r="C67" s="131" t="str">
        <f>'натур показатели патриотика'!C121</f>
        <v>Водоотведение (септик)</v>
      </c>
      <c r="D67" s="132" t="str">
        <f>'натур показатели патриотика'!D121</f>
        <v>м3</v>
      </c>
      <c r="E67" s="133">
        <f>'таланты+инициативы0,2672'!D148</f>
        <v>0.80159999999999998</v>
      </c>
    </row>
    <row r="68" spans="1:5" ht="12" customHeight="1" x14ac:dyDescent="0.25">
      <c r="A68" s="838"/>
      <c r="B68" s="770"/>
      <c r="C68" s="131" t="str">
        <f>'натур показатели патриотика'!C122</f>
        <v>Электроэнергия</v>
      </c>
      <c r="D68" s="132" t="str">
        <f>'натур показатели патриотика'!D122</f>
        <v>МВт час.</v>
      </c>
      <c r="E68" s="133">
        <f>'таланты+инициативы0,2672'!D149</f>
        <v>1.6032</v>
      </c>
    </row>
    <row r="69" spans="1:5" ht="12" customHeight="1" x14ac:dyDescent="0.25">
      <c r="A69" s="838"/>
      <c r="B69" s="770"/>
      <c r="C69" s="131" t="str">
        <f>'натур показатели патриотика'!C123</f>
        <v>ТКО</v>
      </c>
      <c r="D69" s="132" t="str">
        <f>'натур показатели патриотика'!D123</f>
        <v>договор</v>
      </c>
      <c r="E69" s="133">
        <f>'таланты+инициативы0,2672'!D150</f>
        <v>2.1375999999999999</v>
      </c>
    </row>
    <row r="70" spans="1:5" ht="12" customHeight="1" x14ac:dyDescent="0.25">
      <c r="A70" s="838"/>
      <c r="B70" s="770"/>
      <c r="C70" s="131" t="str">
        <f>'натур показатели патриотика'!C124</f>
        <v>Электроэнергия (резерв)</v>
      </c>
      <c r="D70" s="132" t="str">
        <f>'натур показатели патриотика'!D124</f>
        <v>МВт час.</v>
      </c>
      <c r="E70" s="133">
        <f>'таланты+инициативы0,2672'!D151</f>
        <v>1.3359999999999999</v>
      </c>
    </row>
    <row r="71" spans="1:5" ht="12" customHeight="1" x14ac:dyDescent="0.25">
      <c r="A71" s="838"/>
      <c r="B71" s="770"/>
      <c r="C71" s="782" t="s">
        <v>137</v>
      </c>
      <c r="D71" s="783"/>
      <c r="E71" s="784"/>
    </row>
    <row r="72" spans="1:5" ht="12" customHeight="1" x14ac:dyDescent="0.25">
      <c r="A72" s="838"/>
      <c r="B72" s="770"/>
      <c r="C72" s="248" t="str">
        <f>'таланты+инициативы0,2672'!A193</f>
        <v xml:space="preserve">Уборка территории от снега </v>
      </c>
      <c r="D72" s="132" t="s">
        <v>22</v>
      </c>
      <c r="E72" s="249">
        <f>'таланты+инициативы0,2672'!D193</f>
        <v>0.53439999999999999</v>
      </c>
    </row>
    <row r="73" spans="1:5" ht="12" customHeight="1" x14ac:dyDescent="0.25">
      <c r="A73" s="838"/>
      <c r="B73" s="770"/>
      <c r="C73" s="248" t="str">
        <f>'таланты+инициативы0,2672'!A194</f>
        <v>Профилактическая дезинфекция</v>
      </c>
      <c r="D73" s="132" t="s">
        <v>22</v>
      </c>
      <c r="E73" s="249">
        <f>'таланты+инициативы0,2672'!D194</f>
        <v>0.26719999999999999</v>
      </c>
    </row>
    <row r="74" spans="1:5" ht="12" customHeight="1" x14ac:dyDescent="0.25">
      <c r="A74" s="838"/>
      <c r="B74" s="770"/>
      <c r="C74" s="248" t="str">
        <f>'таланты+инициативы0,2672'!A195</f>
        <v>Обслуживание системы видеонаблюдения</v>
      </c>
      <c r="D74" s="132" t="s">
        <v>22</v>
      </c>
      <c r="E74" s="249">
        <f>'таланты+инициативы0,2672'!D195</f>
        <v>3.2063999999999999</v>
      </c>
    </row>
    <row r="75" spans="1:5" ht="12" customHeight="1" x14ac:dyDescent="0.25">
      <c r="A75" s="838"/>
      <c r="B75" s="770"/>
      <c r="C75" s="248" t="str">
        <f>'таланты+инициативы0,2672'!A196</f>
        <v>Комплексное обслуживание системы тепловодоснабжения и конструктивных элементов здания</v>
      </c>
      <c r="D75" s="132" t="s">
        <v>22</v>
      </c>
      <c r="E75" s="249">
        <f>'таланты+инициативы0,2672'!D196</f>
        <v>0.26719999999999999</v>
      </c>
    </row>
    <row r="76" spans="1:5" ht="12" customHeight="1" x14ac:dyDescent="0.25">
      <c r="A76" s="838"/>
      <c r="B76" s="770"/>
      <c r="C76" s="248" t="str">
        <f>'таланты+инициативы0,2672'!A197</f>
        <v>Договор осмотр технического состояния автомобиля</v>
      </c>
      <c r="D76" s="132" t="s">
        <v>22</v>
      </c>
      <c r="E76" s="249">
        <f>'таланты+инициативы0,2672'!D197</f>
        <v>56.112000000000002</v>
      </c>
    </row>
    <row r="77" spans="1:5" ht="12" customHeight="1" x14ac:dyDescent="0.25">
      <c r="A77" s="838"/>
      <c r="B77" s="770"/>
      <c r="C77" s="248" t="str">
        <f>'таланты+инициативы0,2672'!A198</f>
        <v>Техническое обслуживание систем пожарной сигнализации</v>
      </c>
      <c r="D77" s="132" t="s">
        <v>22</v>
      </c>
      <c r="E77" s="249">
        <f>'таланты+инициативы0,2672'!D198</f>
        <v>3.2063999999999999</v>
      </c>
    </row>
    <row r="78" spans="1:5" ht="14.45" customHeight="1" x14ac:dyDescent="0.25">
      <c r="A78" s="838"/>
      <c r="B78" s="770"/>
      <c r="C78" s="248" t="str">
        <f>'таланты+инициативы0,2672'!A199</f>
        <v>Заправка катриджей</v>
      </c>
      <c r="D78" s="132" t="s">
        <v>22</v>
      </c>
      <c r="E78" s="249">
        <f>'таланты+инициативы0,2672'!D199</f>
        <v>2.6719999999999997</v>
      </c>
    </row>
    <row r="79" spans="1:5" ht="14.45" customHeight="1" x14ac:dyDescent="0.25">
      <c r="A79" s="838"/>
      <c r="B79" s="770"/>
      <c r="C79" s="248" t="str">
        <f>'таланты+инициативы0,2672'!A205</f>
        <v>Предрейсовое медицинское обследование 200дней*85руб</v>
      </c>
      <c r="D79" s="132" t="s">
        <v>22</v>
      </c>
      <c r="E79" s="249">
        <f>'таланты+инициативы0,2672'!D205</f>
        <v>112.224</v>
      </c>
    </row>
    <row r="80" spans="1:5" ht="14.45" customHeight="1" x14ac:dyDescent="0.25">
      <c r="A80" s="838"/>
      <c r="B80" s="770"/>
      <c r="C80" s="248" t="str">
        <f>'таланты+инициативы0,2672'!A206</f>
        <v xml:space="preserve">Услуги охраны  </v>
      </c>
      <c r="D80" s="132" t="s">
        <v>22</v>
      </c>
      <c r="E80" s="249">
        <f>'таланты+инициативы0,2672'!D206</f>
        <v>3.2063999999999999</v>
      </c>
    </row>
    <row r="81" spans="1:5" ht="14.45" customHeight="1" x14ac:dyDescent="0.25">
      <c r="A81" s="838"/>
      <c r="B81" s="770"/>
      <c r="C81" s="248" t="str">
        <f>'таланты+инициативы0,2672'!A207</f>
        <v>Обслуживание систем охранных средств сигнализации (тревожная кнопка)</v>
      </c>
      <c r="D81" s="132" t="s">
        <v>22</v>
      </c>
      <c r="E81" s="249">
        <f>'таланты+инициативы0,2672'!D207</f>
        <v>3.2063999999999999</v>
      </c>
    </row>
    <row r="82" spans="1:5" ht="14.45" customHeight="1" x14ac:dyDescent="0.25">
      <c r="A82" s="838"/>
      <c r="B82" s="770"/>
      <c r="C82" s="248" t="str">
        <f>'таланты+инициативы0,2672'!A208</f>
        <v>Медосмотр при устройстве на работу</v>
      </c>
      <c r="D82" s="132" t="s">
        <v>22</v>
      </c>
      <c r="E82" s="249">
        <f>'таланты+инициативы0,2672'!D208</f>
        <v>1.0688</v>
      </c>
    </row>
    <row r="83" spans="1:5" ht="14.45" customHeight="1" x14ac:dyDescent="0.25">
      <c r="A83" s="838"/>
      <c r="B83" s="770"/>
      <c r="C83" s="248" t="str">
        <f>'таланты+инициативы0,2672'!A209</f>
        <v>Страховая премия по полису ОСАГО за УАЗ</v>
      </c>
      <c r="D83" s="132" t="s">
        <v>22</v>
      </c>
      <c r="E83" s="249">
        <f>'таланты+инициативы0,2672'!D209</f>
        <v>0.26719999999999999</v>
      </c>
    </row>
    <row r="84" spans="1:5" ht="21" customHeight="1" x14ac:dyDescent="0.25">
      <c r="A84" s="838"/>
      <c r="B84" s="770"/>
      <c r="C84" s="248" t="str">
        <f>'таланты+инициативы0,2672'!A210</f>
        <v>Диагностика бытовой и оргтехники для определения возможности ее дальнейшего использования (244/226)</v>
      </c>
      <c r="D84" s="132" t="s">
        <v>22</v>
      </c>
      <c r="E84" s="249">
        <f>'таланты+инициативы0,2672'!D210</f>
        <v>0.26719999999999999</v>
      </c>
    </row>
    <row r="85" spans="1:5" ht="16.5" customHeight="1" x14ac:dyDescent="0.25">
      <c r="A85" s="838"/>
      <c r="B85" s="770"/>
      <c r="C85" s="248" t="str">
        <f>'таланты+инициативы0,2672'!A211</f>
        <v>Изготовление снежных фигур</v>
      </c>
      <c r="D85" s="132" t="s">
        <v>22</v>
      </c>
      <c r="E85" s="249">
        <f>'таланты+инициативы0,2672'!D211</f>
        <v>0.26719999999999999</v>
      </c>
    </row>
    <row r="86" spans="1:5" ht="15" customHeight="1" x14ac:dyDescent="0.25">
      <c r="A86" s="838"/>
      <c r="B86" s="770"/>
      <c r="C86" s="248" t="str">
        <f>'таланты+инициативы0,2672'!A212</f>
        <v>Приобретение программного обеспечения</v>
      </c>
      <c r="D86" s="132" t="s">
        <v>22</v>
      </c>
      <c r="E86" s="249">
        <f>'таланты+инициативы0,2672'!D212</f>
        <v>0.53439999999999999</v>
      </c>
    </row>
    <row r="87" spans="1:5" ht="15" customHeight="1" x14ac:dyDescent="0.25">
      <c r="A87" s="838"/>
      <c r="B87" s="770"/>
      <c r="C87" s="248" t="str">
        <f>'таланты+инициативы0,2672'!A213</f>
        <v>Оплата пени, штрафов (853/291)</v>
      </c>
      <c r="D87" s="132" t="s">
        <v>22</v>
      </c>
      <c r="E87" s="249">
        <f>'таланты+инициативы0,2672'!D213</f>
        <v>1.3359999999999999</v>
      </c>
    </row>
    <row r="88" spans="1:5" ht="15" hidden="1" customHeight="1" x14ac:dyDescent="0.25">
      <c r="A88" s="838"/>
      <c r="B88" s="770"/>
      <c r="C88" s="248" t="e">
        <f>'таланты+инициативы0,2672'!#REF!</f>
        <v>#REF!</v>
      </c>
      <c r="D88" s="132" t="s">
        <v>22</v>
      </c>
      <c r="E88" s="249" t="e">
        <f>'таланты+инициативы0,2672'!#REF!</f>
        <v>#REF!</v>
      </c>
    </row>
    <row r="89" spans="1:5" ht="15" hidden="1" customHeight="1" x14ac:dyDescent="0.25">
      <c r="A89" s="838"/>
      <c r="B89" s="770"/>
      <c r="C89" s="248" t="e">
        <f>'таланты+инициативы0,2672'!#REF!</f>
        <v>#REF!</v>
      </c>
      <c r="D89" s="132" t="s">
        <v>22</v>
      </c>
      <c r="E89" s="249" t="e">
        <f>'таланты+инициативы0,2672'!#REF!</f>
        <v>#REF!</v>
      </c>
    </row>
    <row r="90" spans="1:5" ht="15" hidden="1" customHeight="1" x14ac:dyDescent="0.25">
      <c r="A90" s="838"/>
      <c r="B90" s="770"/>
      <c r="C90" s="248" t="e">
        <f>'таланты+инициативы0,2672'!#REF!</f>
        <v>#REF!</v>
      </c>
      <c r="D90" s="132" t="s">
        <v>22</v>
      </c>
      <c r="E90" s="249" t="e">
        <f>'таланты+инициативы0,2672'!#REF!</f>
        <v>#REF!</v>
      </c>
    </row>
    <row r="91" spans="1:5" ht="15" hidden="1" customHeight="1" x14ac:dyDescent="0.25">
      <c r="A91" s="838"/>
      <c r="B91" s="770"/>
      <c r="C91" s="248" t="e">
        <f>'таланты+инициативы0,2672'!#REF!</f>
        <v>#REF!</v>
      </c>
      <c r="D91" s="132" t="s">
        <v>22</v>
      </c>
      <c r="E91" s="249" t="e">
        <f>'таланты+инициативы0,2672'!#REF!</f>
        <v>#REF!</v>
      </c>
    </row>
    <row r="92" spans="1:5" ht="15" hidden="1" customHeight="1" x14ac:dyDescent="0.25">
      <c r="A92" s="838"/>
      <c r="B92" s="770"/>
      <c r="C92" s="248" t="e">
        <f>'таланты+инициативы0,2672'!#REF!</f>
        <v>#REF!</v>
      </c>
      <c r="D92" s="132" t="s">
        <v>22</v>
      </c>
      <c r="E92" s="249" t="e">
        <f>'таланты+инициативы0,2672'!#REF!</f>
        <v>#REF!</v>
      </c>
    </row>
    <row r="93" spans="1:5" ht="15" hidden="1" customHeight="1" x14ac:dyDescent="0.25">
      <c r="A93" s="838"/>
      <c r="B93" s="770"/>
      <c r="C93" s="248" t="e">
        <f>'таланты+инициативы0,2672'!#REF!</f>
        <v>#REF!</v>
      </c>
      <c r="D93" s="132" t="s">
        <v>22</v>
      </c>
      <c r="E93" s="249" t="e">
        <f>'таланты+инициативы0,2672'!#REF!</f>
        <v>#REF!</v>
      </c>
    </row>
    <row r="94" spans="1:5" ht="15" hidden="1" customHeight="1" x14ac:dyDescent="0.25">
      <c r="A94" s="838"/>
      <c r="B94" s="770"/>
      <c r="C94" s="248" t="e">
        <f>'таланты+инициативы0,2672'!#REF!</f>
        <v>#REF!</v>
      </c>
      <c r="D94" s="132" t="s">
        <v>22</v>
      </c>
      <c r="E94" s="249" t="e">
        <f>'таланты+инициативы0,2672'!#REF!</f>
        <v>#REF!</v>
      </c>
    </row>
    <row r="95" spans="1:5" ht="15" hidden="1" customHeight="1" x14ac:dyDescent="0.25">
      <c r="A95" s="838"/>
      <c r="B95" s="770"/>
      <c r="C95" s="248" t="e">
        <f>'таланты+инициативы0,2672'!#REF!</f>
        <v>#REF!</v>
      </c>
      <c r="D95" s="132" t="s">
        <v>22</v>
      </c>
      <c r="E95" s="249" t="e">
        <f>'таланты+инициативы0,2672'!#REF!</f>
        <v>#REF!</v>
      </c>
    </row>
    <row r="96" spans="1:5" ht="15" hidden="1" customHeight="1" x14ac:dyDescent="0.25">
      <c r="A96" s="838"/>
      <c r="B96" s="770"/>
      <c r="C96" s="248" t="e">
        <f>'таланты+инициативы0,2672'!#REF!</f>
        <v>#REF!</v>
      </c>
      <c r="D96" s="132" t="s">
        <v>22</v>
      </c>
      <c r="E96" s="249" t="e">
        <f>'таланты+инициативы0,2672'!#REF!</f>
        <v>#REF!</v>
      </c>
    </row>
    <row r="97" spans="1:5" ht="15" hidden="1" customHeight="1" x14ac:dyDescent="0.25">
      <c r="A97" s="838"/>
      <c r="B97" s="770"/>
      <c r="C97" s="248" t="e">
        <f>'таланты+инициативы0,2672'!#REF!</f>
        <v>#REF!</v>
      </c>
      <c r="D97" s="132" t="s">
        <v>22</v>
      </c>
      <c r="E97" s="249" t="e">
        <f>'таланты+инициативы0,2672'!#REF!</f>
        <v>#REF!</v>
      </c>
    </row>
    <row r="98" spans="1:5" ht="15" hidden="1" customHeight="1" x14ac:dyDescent="0.25">
      <c r="A98" s="838"/>
      <c r="B98" s="770"/>
      <c r="C98" s="248" t="e">
        <f>'таланты+инициативы0,2672'!#REF!</f>
        <v>#REF!</v>
      </c>
      <c r="D98" s="132" t="s">
        <v>22</v>
      </c>
      <c r="E98" s="249" t="e">
        <f>'таланты+инициативы0,2672'!#REF!</f>
        <v>#REF!</v>
      </c>
    </row>
    <row r="99" spans="1:5" ht="15" hidden="1" customHeight="1" x14ac:dyDescent="0.25">
      <c r="A99" s="838"/>
      <c r="B99" s="770"/>
      <c r="C99" s="248" t="e">
        <f>'таланты+инициативы0,2672'!#REF!</f>
        <v>#REF!</v>
      </c>
      <c r="D99" s="132" t="s">
        <v>22</v>
      </c>
      <c r="E99" s="249" t="e">
        <f>'таланты+инициативы0,2672'!#REF!</f>
        <v>#REF!</v>
      </c>
    </row>
    <row r="100" spans="1:5" ht="15" hidden="1" customHeight="1" x14ac:dyDescent="0.25">
      <c r="A100" s="838"/>
      <c r="B100" s="770"/>
      <c r="C100" s="248" t="e">
        <f>'таланты+инициативы0,2672'!#REF!</f>
        <v>#REF!</v>
      </c>
      <c r="D100" s="132" t="s">
        <v>22</v>
      </c>
      <c r="E100" s="249" t="e">
        <f>'таланты+инициативы0,2672'!#REF!</f>
        <v>#REF!</v>
      </c>
    </row>
    <row r="101" spans="1:5" ht="15" customHeight="1" x14ac:dyDescent="0.25">
      <c r="A101" s="838"/>
      <c r="B101" s="770"/>
      <c r="C101" s="779" t="s">
        <v>138</v>
      </c>
      <c r="D101" s="780"/>
      <c r="E101" s="781"/>
    </row>
    <row r="102" spans="1:5" ht="15" customHeight="1" x14ac:dyDescent="0.25">
      <c r="A102" s="838"/>
      <c r="B102" s="770"/>
      <c r="C102" s="135" t="str">
        <f>'инновации+добровольчество0,3664'!A210</f>
        <v>переговоры по району, мин</v>
      </c>
      <c r="D102" s="98" t="s">
        <v>86</v>
      </c>
      <c r="E102" s="226">
        <f>'таланты+инициативы0,2672'!D173</f>
        <v>0</v>
      </c>
    </row>
    <row r="103" spans="1:5" ht="15" customHeight="1" x14ac:dyDescent="0.25">
      <c r="A103" s="838"/>
      <c r="B103" s="770"/>
      <c r="C103" s="135" t="str">
        <f>'инновации+добровольчество0,3664'!A211</f>
        <v>Переговоры за пределами района,мин</v>
      </c>
      <c r="D103" s="98" t="s">
        <v>22</v>
      </c>
      <c r="E103" s="415">
        <f>'таланты+инициативы0,2672'!D174</f>
        <v>10.02</v>
      </c>
    </row>
    <row r="104" spans="1:5" ht="15" customHeight="1" x14ac:dyDescent="0.25">
      <c r="A104" s="838"/>
      <c r="B104" s="770"/>
      <c r="C104" s="135" t="str">
        <f>'инновации+добровольчество0,3664'!A212</f>
        <v>Абоненская плата за услуги связи, номеров</v>
      </c>
      <c r="D104" s="98" t="s">
        <v>37</v>
      </c>
      <c r="E104" s="226">
        <f>'таланты+инициативы0,2672'!D175</f>
        <v>0.26719999999999999</v>
      </c>
    </row>
    <row r="105" spans="1:5" ht="15" customHeight="1" x14ac:dyDescent="0.25">
      <c r="A105" s="838"/>
      <c r="B105" s="770"/>
      <c r="C105" s="135" t="str">
        <f>'инновации+добровольчество0,3664'!A213</f>
        <v xml:space="preserve">Абоненская плата за услуги Интернет </v>
      </c>
      <c r="D105" s="98" t="s">
        <v>37</v>
      </c>
      <c r="E105" s="226">
        <f>'таланты+инициативы0,2672'!D176</f>
        <v>0.26719999999999999</v>
      </c>
    </row>
    <row r="106" spans="1:5" ht="15" customHeight="1" x14ac:dyDescent="0.25">
      <c r="A106" s="838"/>
      <c r="B106" s="770"/>
      <c r="C106" s="135" t="str">
        <f>'инновации+добровольчество0,3664'!A214</f>
        <v>Почтовые конверты</v>
      </c>
      <c r="D106" s="98" t="s">
        <v>38</v>
      </c>
      <c r="E106" s="226">
        <f>'таланты+инициативы0,2672'!D177</f>
        <v>0.26719999999999999</v>
      </c>
    </row>
    <row r="107" spans="1:5" ht="15" hidden="1" customHeight="1" x14ac:dyDescent="0.25">
      <c r="A107" s="838"/>
      <c r="B107" s="770"/>
      <c r="C107" s="135" t="e">
        <f>'инновации+добровольчество0,3664'!#REF!</f>
        <v>#REF!</v>
      </c>
      <c r="D107" s="98" t="s">
        <v>38</v>
      </c>
      <c r="E107" s="226" t="e">
        <f>'таланты+инициативы0,2672'!#REF!</f>
        <v>#REF!</v>
      </c>
    </row>
    <row r="108" spans="1:5" ht="15" hidden="1" customHeight="1" x14ac:dyDescent="0.25">
      <c r="A108" s="838"/>
      <c r="B108" s="770"/>
      <c r="C108" s="135" t="e">
        <f>'инновации+добровольчество0,3664'!#REF!</f>
        <v>#REF!</v>
      </c>
      <c r="D108" s="98" t="s">
        <v>22</v>
      </c>
      <c r="E108" s="226" t="e">
        <f>'таланты+инициативы0,2672'!#REF!</f>
        <v>#REF!</v>
      </c>
    </row>
    <row r="109" spans="1:5" ht="12" customHeight="1" x14ac:dyDescent="0.25">
      <c r="A109" s="838"/>
      <c r="B109" s="770"/>
      <c r="C109" s="785" t="s">
        <v>139</v>
      </c>
      <c r="D109" s="786"/>
      <c r="E109" s="787"/>
    </row>
    <row r="110" spans="1:5" ht="21.6" customHeight="1" x14ac:dyDescent="0.25">
      <c r="A110" s="838"/>
      <c r="B110" s="770"/>
      <c r="C110" s="107" t="s">
        <v>187</v>
      </c>
      <c r="D110" s="250" t="s">
        <v>143</v>
      </c>
      <c r="E110" s="163">
        <f>'таланты+инициативы0,2672'!E111</f>
        <v>0.26719999999999999</v>
      </c>
    </row>
    <row r="111" spans="1:5" ht="12" customHeight="1" x14ac:dyDescent="0.25">
      <c r="A111" s="838"/>
      <c r="B111" s="770"/>
      <c r="C111" s="116" t="s">
        <v>141</v>
      </c>
      <c r="D111" s="250" t="s">
        <v>134</v>
      </c>
      <c r="E111" s="163">
        <f>'таланты+инициативы0,2672'!E112</f>
        <v>0.26719999999999999</v>
      </c>
    </row>
    <row r="112" spans="1:5" ht="15" customHeight="1" x14ac:dyDescent="0.25">
      <c r="A112" s="838"/>
      <c r="B112" s="770"/>
      <c r="C112" s="116" t="s">
        <v>87</v>
      </c>
      <c r="D112" s="250" t="s">
        <v>134</v>
      </c>
      <c r="E112" s="163">
        <f>'таланты+инициативы0,2672'!E113</f>
        <v>0.1336</v>
      </c>
    </row>
    <row r="113" spans="1:5" ht="13.5" customHeight="1" x14ac:dyDescent="0.25">
      <c r="A113" s="838"/>
      <c r="B113" s="770"/>
      <c r="C113" s="116" t="s">
        <v>142</v>
      </c>
      <c r="D113" s="250" t="s">
        <v>134</v>
      </c>
      <c r="E113" s="163">
        <f>'таланты+инициативы0,2672'!E114</f>
        <v>0.26719999999999999</v>
      </c>
    </row>
    <row r="114" spans="1:5" ht="24.6" customHeight="1" x14ac:dyDescent="0.25">
      <c r="A114" s="838"/>
      <c r="B114" s="770"/>
      <c r="C114" s="788" t="s">
        <v>146</v>
      </c>
      <c r="D114" s="789"/>
      <c r="E114" s="790"/>
    </row>
    <row r="115" spans="1:5" ht="12" customHeight="1" x14ac:dyDescent="0.25">
      <c r="A115" s="838"/>
      <c r="B115" s="770"/>
      <c r="C115" s="436" t="str">
        <f>'инновации+добровольчество0,3664'!A180</f>
        <v>Пособие по уходу за ребенком до 3-х лет</v>
      </c>
      <c r="D115" s="439" t="s">
        <v>122</v>
      </c>
      <c r="E115" s="227">
        <f>E110</f>
        <v>0.26719999999999999</v>
      </c>
    </row>
    <row r="116" spans="1:5" ht="12" customHeight="1" x14ac:dyDescent="0.25">
      <c r="A116" s="838"/>
      <c r="B116" s="770"/>
      <c r="C116" s="785" t="s">
        <v>147</v>
      </c>
      <c r="D116" s="786"/>
      <c r="E116" s="787"/>
    </row>
    <row r="117" spans="1:5" ht="12" customHeight="1" x14ac:dyDescent="0.25">
      <c r="A117" s="838"/>
      <c r="B117" s="770"/>
      <c r="C117" s="117" t="s">
        <v>308</v>
      </c>
      <c r="D117" s="98" t="s">
        <v>39</v>
      </c>
      <c r="E117" s="224">
        <f>'таланты+инициативы0,2672'!E164</f>
        <v>22.712</v>
      </c>
    </row>
    <row r="118" spans="1:5" ht="12" customHeight="1" x14ac:dyDescent="0.25">
      <c r="A118" s="838"/>
      <c r="B118" s="770"/>
      <c r="C118" s="117" t="s">
        <v>309</v>
      </c>
      <c r="D118" s="98" t="s">
        <v>39</v>
      </c>
      <c r="E118" s="224">
        <f>'таланты+инициативы0,2672'!E165</f>
        <v>9.0847999999999995</v>
      </c>
    </row>
    <row r="119" spans="1:5" ht="12" customHeight="1" x14ac:dyDescent="0.25">
      <c r="A119" s="838"/>
      <c r="B119" s="770"/>
      <c r="C119" s="117" t="s">
        <v>310</v>
      </c>
      <c r="D119" s="98" t="s">
        <v>39</v>
      </c>
      <c r="E119" s="224">
        <f>'таланты+инициативы0,2672'!E166</f>
        <v>13.6272</v>
      </c>
    </row>
    <row r="120" spans="1:5" ht="12" customHeight="1" x14ac:dyDescent="0.25">
      <c r="A120" s="838"/>
      <c r="B120" s="770"/>
      <c r="C120" s="776" t="s">
        <v>148</v>
      </c>
      <c r="D120" s="777"/>
      <c r="E120" s="778"/>
    </row>
    <row r="121" spans="1:5" ht="11.25" customHeight="1" x14ac:dyDescent="0.25">
      <c r="A121" s="838"/>
      <c r="B121" s="770"/>
      <c r="C121" s="119" t="str">
        <f>'инновации+добровольчество0,3664'!A222</f>
        <v>Провоз груза 2000 кг (1 кг=9,50 руб)</v>
      </c>
      <c r="D121" s="83" t="s">
        <v>22</v>
      </c>
      <c r="E121" s="232">
        <f>'таланты+инициативы0,2672'!D185</f>
        <v>0.26719999999999999</v>
      </c>
    </row>
    <row r="122" spans="1:5" ht="12" customHeight="1" x14ac:dyDescent="0.25">
      <c r="A122" s="838"/>
      <c r="B122" s="770"/>
      <c r="C122" s="779" t="s">
        <v>149</v>
      </c>
      <c r="D122" s="780"/>
      <c r="E122" s="781"/>
    </row>
    <row r="123" spans="1:5" ht="12" customHeight="1" x14ac:dyDescent="0.25">
      <c r="A123" s="838"/>
      <c r="B123" s="770"/>
      <c r="C123" s="437" t="str">
        <f>'таланты+инициативы0,2672'!A220</f>
        <v>Обучение персонала</v>
      </c>
      <c r="D123" s="132" t="s">
        <v>122</v>
      </c>
      <c r="E123" s="438">
        <f>'таланты+инициативы0,2672'!D220</f>
        <v>0.53439999999999999</v>
      </c>
    </row>
    <row r="124" spans="1:5" ht="12" customHeight="1" x14ac:dyDescent="0.25">
      <c r="A124" s="838"/>
      <c r="B124" s="770"/>
      <c r="C124" s="437" t="str">
        <f>'таланты+инициативы0,2672'!A221</f>
        <v>Переподготовка</v>
      </c>
      <c r="D124" s="132" t="s">
        <v>122</v>
      </c>
      <c r="E124" s="438">
        <f>'таланты+инициативы0,2672'!D221</f>
        <v>0.80159999999999998</v>
      </c>
    </row>
    <row r="125" spans="1:5" ht="12.75" customHeight="1" x14ac:dyDescent="0.25">
      <c r="A125" s="838"/>
      <c r="B125" s="770"/>
      <c r="C125" s="108" t="str">
        <f>'натур показатели патриотика'!C181</f>
        <v>Пиломатериал</v>
      </c>
      <c r="D125" s="67" t="str">
        <f>'натур показатели патриотика'!D181</f>
        <v>шт</v>
      </c>
      <c r="E125" s="163">
        <f>'таланты+инициативы0,2672'!D222</f>
        <v>1.8704000000000001</v>
      </c>
    </row>
    <row r="126" spans="1:5" ht="12.75" customHeight="1" x14ac:dyDescent="0.25">
      <c r="A126" s="838"/>
      <c r="B126" s="770"/>
      <c r="C126" s="108" t="str">
        <f>'натур показатели патриотика'!C182</f>
        <v>Тонеры для картриджей Kyocera</v>
      </c>
      <c r="D126" s="67" t="str">
        <f>'натур показатели патриотика'!D182</f>
        <v>шт</v>
      </c>
      <c r="E126" s="163">
        <f>'таланты+инициативы0,2672'!D223</f>
        <v>1.3359999999999999</v>
      </c>
    </row>
    <row r="127" spans="1:5" ht="12" customHeight="1" x14ac:dyDescent="0.25">
      <c r="A127" s="838"/>
      <c r="B127" s="770"/>
      <c r="C127" s="108" t="str">
        <f>'натур показатели патриотика'!C183</f>
        <v>Комплект тонеров для цветного принтера Canon</v>
      </c>
      <c r="D127" s="67" t="str">
        <f>'натур показатели патриотика'!D183</f>
        <v>шт</v>
      </c>
      <c r="E127" s="163">
        <f>'таланты+инициативы0,2672'!D224</f>
        <v>1.3359999999999999</v>
      </c>
    </row>
    <row r="128" spans="1:5" ht="12" customHeight="1" x14ac:dyDescent="0.25">
      <c r="A128" s="838"/>
      <c r="B128" s="770"/>
      <c r="C128" s="108" t="str">
        <f>'натур показатели патриотика'!C184</f>
        <v>Комплект тонера для цветного принтера Hp</v>
      </c>
      <c r="D128" s="67" t="str">
        <f>'натур показатели патриотика'!D184</f>
        <v>шт</v>
      </c>
      <c r="E128" s="163">
        <f>'таланты+инициативы0,2672'!D225</f>
        <v>0.53439999999999999</v>
      </c>
    </row>
    <row r="129" spans="1:5" ht="12" customHeight="1" x14ac:dyDescent="0.25">
      <c r="A129" s="838"/>
      <c r="B129" s="770"/>
      <c r="C129" s="108" t="str">
        <f>'натур показатели патриотика'!C185</f>
        <v>Флеш накопители  16 гб</v>
      </c>
      <c r="D129" s="67" t="str">
        <f>'натур показатели патриотика'!D185</f>
        <v>шт</v>
      </c>
      <c r="E129" s="163">
        <f>'таланты+инициативы0,2672'!D226</f>
        <v>1.8704000000000001</v>
      </c>
    </row>
    <row r="130" spans="1:5" ht="12" customHeight="1" x14ac:dyDescent="0.25">
      <c r="A130" s="838"/>
      <c r="B130" s="770"/>
      <c r="C130" s="108" t="str">
        <f>'натур показатели патриотика'!C186</f>
        <v>Флеш накопители  64 гб</v>
      </c>
      <c r="D130" s="67" t="str">
        <f>'натур показатели патриотика'!D186</f>
        <v>шт</v>
      </c>
      <c r="E130" s="163">
        <f>'таланты+инициативы0,2672'!D227</f>
        <v>1.3359999999999999</v>
      </c>
    </row>
    <row r="131" spans="1:5" ht="12" customHeight="1" x14ac:dyDescent="0.25">
      <c r="A131" s="838"/>
      <c r="B131" s="770"/>
      <c r="C131" s="108" t="str">
        <f>'натур показатели патриотика'!C187</f>
        <v>Мышь USB</v>
      </c>
      <c r="D131" s="67" t="str">
        <f>'натур показатели патриотика'!D187</f>
        <v>шт</v>
      </c>
      <c r="E131" s="163">
        <f>'таланты+инициативы0,2672'!D228</f>
        <v>1.0688</v>
      </c>
    </row>
    <row r="132" spans="1:5" ht="12" customHeight="1" x14ac:dyDescent="0.25">
      <c r="A132" s="838"/>
      <c r="B132" s="770"/>
      <c r="C132" s="108" t="str">
        <f>'натур показатели патриотика'!C188</f>
        <v xml:space="preserve">Мешки для мусора </v>
      </c>
      <c r="D132" s="67" t="str">
        <f>'натур показатели патриотика'!D188</f>
        <v>шт</v>
      </c>
      <c r="E132" s="163">
        <f>'таланты+инициативы0,2672'!D229</f>
        <v>26.72</v>
      </c>
    </row>
    <row r="133" spans="1:5" ht="12" customHeight="1" x14ac:dyDescent="0.25">
      <c r="A133" s="838"/>
      <c r="B133" s="770"/>
      <c r="C133" s="108" t="str">
        <f>'натур показатели патриотика'!C189</f>
        <v>Жидкое мыло</v>
      </c>
      <c r="D133" s="67" t="str">
        <f>'натур показатели патриотика'!D189</f>
        <v>шт</v>
      </c>
      <c r="E133" s="163">
        <f>'таланты+инициативы0,2672'!D230</f>
        <v>4.008</v>
      </c>
    </row>
    <row r="134" spans="1:5" ht="12" customHeight="1" x14ac:dyDescent="0.25">
      <c r="A134" s="838"/>
      <c r="B134" s="770"/>
      <c r="C134" s="108" t="str">
        <f>'натур показатели патриотика'!C190</f>
        <v>Туалетная бумага</v>
      </c>
      <c r="D134" s="67" t="str">
        <f>'натур показатели патриотика'!D190</f>
        <v>шт</v>
      </c>
      <c r="E134" s="163">
        <f>'таланты+инициативы0,2672'!D231</f>
        <v>26.72</v>
      </c>
    </row>
    <row r="135" spans="1:5" ht="12" customHeight="1" x14ac:dyDescent="0.25">
      <c r="A135" s="838"/>
      <c r="B135" s="770"/>
      <c r="C135" s="108" t="str">
        <f>'натур показатели патриотика'!C191</f>
        <v>Тряпки для мытья</v>
      </c>
      <c r="D135" s="67" t="str">
        <f>'натур показатели патриотика'!D191</f>
        <v>шт</v>
      </c>
      <c r="E135" s="163">
        <f>'таланты+инициативы0,2672'!D232</f>
        <v>10.687999999999999</v>
      </c>
    </row>
    <row r="136" spans="1:5" ht="12" customHeight="1" x14ac:dyDescent="0.25">
      <c r="A136" s="838"/>
      <c r="B136" s="770"/>
      <c r="C136" s="108" t="str">
        <f>'натур показатели патриотика'!C192</f>
        <v>Бытовая химия</v>
      </c>
      <c r="D136" s="67" t="str">
        <f>'натур показатели патриотика'!D192</f>
        <v>шт</v>
      </c>
      <c r="E136" s="163">
        <f>'таланты+инициативы0,2672'!D233</f>
        <v>5.3439999999999994</v>
      </c>
    </row>
    <row r="137" spans="1:5" ht="12" customHeight="1" x14ac:dyDescent="0.25">
      <c r="A137" s="838"/>
      <c r="B137" s="770"/>
      <c r="C137" s="108" t="str">
        <f>'натур показатели патриотика'!C193</f>
        <v>Фанера</v>
      </c>
      <c r="D137" s="67" t="str">
        <f>'натур показатели патриотика'!D193</f>
        <v>шт</v>
      </c>
      <c r="E137" s="163">
        <f>'таланты+инициативы0,2672'!D234</f>
        <v>8.016</v>
      </c>
    </row>
    <row r="138" spans="1:5" ht="12" customHeight="1" x14ac:dyDescent="0.25">
      <c r="A138" s="838"/>
      <c r="B138" s="770"/>
      <c r="C138" s="108" t="str">
        <f>'натур показатели патриотика'!C194</f>
        <v>Антифриз</v>
      </c>
      <c r="D138" s="67" t="str">
        <f>'натур показатели патриотика'!D194</f>
        <v>шт</v>
      </c>
      <c r="E138" s="163">
        <f>'таланты+инициативы0,2672'!D235</f>
        <v>5.3439999999999994</v>
      </c>
    </row>
    <row r="139" spans="1:5" ht="12" customHeight="1" x14ac:dyDescent="0.25">
      <c r="A139" s="838"/>
      <c r="B139" s="770"/>
      <c r="C139" s="108" t="str">
        <f>'натур показатели патриотика'!C195</f>
        <v>Баннера</v>
      </c>
      <c r="D139" s="67" t="str">
        <f>'натур показатели патриотика'!D195</f>
        <v>шт</v>
      </c>
      <c r="E139" s="163">
        <f>'таланты+инициативы0,2672'!D236</f>
        <v>1.3359999999999999</v>
      </c>
    </row>
    <row r="140" spans="1:5" ht="12" customHeight="1" x14ac:dyDescent="0.25">
      <c r="A140" s="838"/>
      <c r="B140" s="770"/>
      <c r="C140" s="108" t="str">
        <f>'натур показатели патриотика'!C196</f>
        <v>Гвозди</v>
      </c>
      <c r="D140" s="67" t="str">
        <f>'натур показатели патриотика'!D196</f>
        <v>шт</v>
      </c>
      <c r="E140" s="163">
        <f>'таланты+инициативы0,2672'!D237</f>
        <v>5.3439999999999994</v>
      </c>
    </row>
    <row r="141" spans="1:5" ht="12" customHeight="1" x14ac:dyDescent="0.25">
      <c r="A141" s="838"/>
      <c r="B141" s="770"/>
      <c r="C141" s="108" t="str">
        <f>'натур показатели патриотика'!C197</f>
        <v>Саморезы</v>
      </c>
      <c r="D141" s="67" t="str">
        <f>'натур показатели патриотика'!D197</f>
        <v>шт</v>
      </c>
      <c r="E141" s="163">
        <f>'таланты+инициативы0,2672'!D238</f>
        <v>13.36</v>
      </c>
    </row>
    <row r="142" spans="1:5" ht="12" customHeight="1" x14ac:dyDescent="0.25">
      <c r="A142" s="838"/>
      <c r="B142" s="770"/>
      <c r="C142" s="108" t="str">
        <f>'натур показатели патриотика'!C198</f>
        <v>Инструмент металлический ручной</v>
      </c>
      <c r="D142" s="67" t="str">
        <f>'натур показатели патриотика'!D198</f>
        <v>шт</v>
      </c>
      <c r="E142" s="163">
        <f>'таланты+инициативы0,2672'!D239</f>
        <v>1.3359999999999999</v>
      </c>
    </row>
    <row r="143" spans="1:5" ht="12" customHeight="1" x14ac:dyDescent="0.25">
      <c r="A143" s="838"/>
      <c r="B143" s="770"/>
      <c r="C143" s="108" t="str">
        <f>'натур показатели патриотика'!C199</f>
        <v>Краска эмаль</v>
      </c>
      <c r="D143" s="67" t="str">
        <f>'натур показатели патриотика'!D199</f>
        <v>шт</v>
      </c>
      <c r="E143" s="163">
        <f>'таланты+инициативы0,2672'!D240</f>
        <v>8.016</v>
      </c>
    </row>
    <row r="144" spans="1:5" ht="12" customHeight="1" x14ac:dyDescent="0.25">
      <c r="A144" s="838"/>
      <c r="B144" s="770"/>
      <c r="C144" s="108" t="str">
        <f>'натур показатели патриотика'!C200</f>
        <v>Краска ВДН</v>
      </c>
      <c r="D144" s="67" t="str">
        <f>'натур показатели патриотика'!D200</f>
        <v>шт</v>
      </c>
      <c r="E144" s="163">
        <f>'таланты+инициативы0,2672'!D241</f>
        <v>2.6719999999999997</v>
      </c>
    </row>
    <row r="145" spans="1:5" ht="12" customHeight="1" x14ac:dyDescent="0.25">
      <c r="A145" s="838"/>
      <c r="B145" s="770"/>
      <c r="C145" s="108" t="str">
        <f>'натур показатели патриотика'!C201</f>
        <v>Кисти</v>
      </c>
      <c r="D145" s="67" t="str">
        <f>'натур показатели патриотика'!D201</f>
        <v>шт</v>
      </c>
      <c r="E145" s="163">
        <f>'таланты+инициативы0,2672'!D242</f>
        <v>10.687999999999999</v>
      </c>
    </row>
    <row r="146" spans="1:5" ht="12" customHeight="1" x14ac:dyDescent="0.25">
      <c r="A146" s="838"/>
      <c r="B146" s="770"/>
      <c r="C146" s="108" t="str">
        <f>'натур показатели патриотика'!C202</f>
        <v>Перчатка пвх</v>
      </c>
      <c r="D146" s="67" t="str">
        <f>'натур показатели патриотика'!D202</f>
        <v>шт</v>
      </c>
      <c r="E146" s="163">
        <f>'таланты+инициативы0,2672'!D243</f>
        <v>26.72</v>
      </c>
    </row>
    <row r="147" spans="1:5" ht="12" customHeight="1" x14ac:dyDescent="0.25">
      <c r="A147" s="838"/>
      <c r="B147" s="770"/>
      <c r="C147" s="108" t="str">
        <f>'натур показатели патриотика'!C203</f>
        <v>краска кудо</v>
      </c>
      <c r="D147" s="67" t="str">
        <f>'натур показатели патриотика'!D203</f>
        <v>шт</v>
      </c>
      <c r="E147" s="163">
        <f>'таланты+инициативы0,2672'!D244</f>
        <v>8.016</v>
      </c>
    </row>
    <row r="148" spans="1:5" ht="12" customHeight="1" x14ac:dyDescent="0.25">
      <c r="A148" s="838"/>
      <c r="B148" s="770"/>
      <c r="C148" s="108" t="str">
        <f>'натур показатели патриотика'!C204</f>
        <v>Валик+ванночка</v>
      </c>
      <c r="D148" s="67" t="str">
        <f>'натур показатели патриотика'!D204</f>
        <v>шт</v>
      </c>
      <c r="E148" s="163">
        <f>'таланты+инициативы0,2672'!D245</f>
        <v>2.6719999999999997</v>
      </c>
    </row>
    <row r="149" spans="1:5" ht="12" customHeight="1" x14ac:dyDescent="0.25">
      <c r="A149" s="838"/>
      <c r="B149" s="770"/>
      <c r="C149" s="108" t="str">
        <f>'натур показатели патриотика'!C205</f>
        <v>Ножницыы</v>
      </c>
      <c r="D149" s="67" t="str">
        <f>'натур показатели патриотика'!D205</f>
        <v>шт</v>
      </c>
      <c r="E149" s="163">
        <f>'таланты+инициативы0,2672'!D246</f>
        <v>2.6719999999999997</v>
      </c>
    </row>
    <row r="150" spans="1:5" ht="12" customHeight="1" x14ac:dyDescent="0.25">
      <c r="A150" s="838"/>
      <c r="B150" s="770"/>
      <c r="C150" s="108" t="str">
        <f>'натур показатели патриотика'!C206</f>
        <v>Канцелярские расходники</v>
      </c>
      <c r="D150" s="67" t="str">
        <f>'натур показатели патриотика'!D206</f>
        <v>шт</v>
      </c>
      <c r="E150" s="163">
        <f>'таланты+инициативы0,2672'!D247</f>
        <v>26.72</v>
      </c>
    </row>
    <row r="151" spans="1:5" ht="12" customHeight="1" x14ac:dyDescent="0.25">
      <c r="A151" s="838"/>
      <c r="B151" s="770"/>
      <c r="C151" s="108" t="str">
        <f>'натур показатели патриотика'!C207</f>
        <v>Канцелярия (ручки, карандаши)</v>
      </c>
      <c r="D151" s="67" t="str">
        <f>'натур показатели патриотика'!D207</f>
        <v>шт</v>
      </c>
      <c r="E151" s="163">
        <f>'таланты+инициативы0,2672'!D248</f>
        <v>26.72</v>
      </c>
    </row>
    <row r="152" spans="1:5" ht="12" customHeight="1" x14ac:dyDescent="0.25">
      <c r="A152" s="838"/>
      <c r="B152" s="770"/>
      <c r="C152" s="108" t="str">
        <f>'натур показатели патриотика'!C208</f>
        <v>Офисные принадлежности (папки, скоросшиватели, файлы)</v>
      </c>
      <c r="D152" s="67" t="str">
        <f>'натур показатели патриотика'!D208</f>
        <v>шт</v>
      </c>
      <c r="E152" s="163">
        <f>'таланты+инициативы0,2672'!D249</f>
        <v>26.72</v>
      </c>
    </row>
    <row r="153" spans="1:5" ht="12" customHeight="1" x14ac:dyDescent="0.25">
      <c r="A153" s="838"/>
      <c r="B153" s="770"/>
      <c r="C153" s="108" t="str">
        <f>'натур показатели патриотика'!C209</f>
        <v>Лампы</v>
      </c>
      <c r="D153" s="67" t="str">
        <f>'натур показатели патриотика'!D209</f>
        <v>шт</v>
      </c>
      <c r="E153" s="163">
        <f>'таланты+инициативы0,2672'!D250</f>
        <v>13.36</v>
      </c>
    </row>
    <row r="154" spans="1:5" ht="12" customHeight="1" x14ac:dyDescent="0.25">
      <c r="A154" s="838"/>
      <c r="B154" s="770"/>
      <c r="C154" s="108" t="str">
        <f>'натур показатели патриотика'!C210</f>
        <v>Батерейки</v>
      </c>
      <c r="D154" s="67" t="str">
        <f>'натур показатели патриотика'!D210</f>
        <v>шт</v>
      </c>
      <c r="E154" s="163">
        <f>'таланты+инициативы0,2672'!D251</f>
        <v>53.44</v>
      </c>
    </row>
    <row r="155" spans="1:5" ht="12" customHeight="1" x14ac:dyDescent="0.25">
      <c r="A155" s="838"/>
      <c r="B155" s="770"/>
      <c r="C155" s="108" t="str">
        <f>'натур показатели патриотика'!C211</f>
        <v>Бумага А4</v>
      </c>
      <c r="D155" s="67" t="str">
        <f>'натур показатели патриотика'!D211</f>
        <v>шт</v>
      </c>
      <c r="E155" s="163">
        <f>'таланты+инициативы0,2672'!D252</f>
        <v>26.72</v>
      </c>
    </row>
    <row r="156" spans="1:5" ht="12" customHeight="1" x14ac:dyDescent="0.25">
      <c r="A156" s="838"/>
      <c r="B156" s="770"/>
      <c r="C156" s="108" t="str">
        <f>'натур показатели патриотика'!C212</f>
        <v>Грабли, лопаты</v>
      </c>
      <c r="D156" s="67" t="str">
        <f>'натур показатели патриотика'!D212</f>
        <v>шт</v>
      </c>
      <c r="E156" s="163">
        <f>'таланты+инициативы0,2672'!D253</f>
        <v>2.6719999999999997</v>
      </c>
    </row>
    <row r="157" spans="1:5" ht="12" customHeight="1" x14ac:dyDescent="0.25">
      <c r="A157" s="838"/>
      <c r="B157" s="770"/>
      <c r="C157" s="108" t="str">
        <f>'натур показатели патриотика'!C213</f>
        <v>ГСМ УАЗ (Масло двигатель)</v>
      </c>
      <c r="D157" s="67" t="str">
        <f>'натур показатели патриотика'!D213</f>
        <v>шт</v>
      </c>
      <c r="E157" s="163">
        <f>'таланты+инициативы0,2672'!D254</f>
        <v>5.3439999999999994</v>
      </c>
    </row>
    <row r="158" spans="1:5" ht="12" customHeight="1" x14ac:dyDescent="0.25">
      <c r="A158" s="838"/>
      <c r="B158" s="770"/>
      <c r="C158" s="108" t="str">
        <f>'натур показатели патриотика'!C214</f>
        <v>ГСМ Бензин</v>
      </c>
      <c r="D158" s="67" t="str">
        <f>'натур показатели патриотика'!D214</f>
        <v>шт</v>
      </c>
      <c r="E158" s="163">
        <f>'таланты+инициативы0,2672'!D255</f>
        <v>694.72</v>
      </c>
    </row>
    <row r="159" spans="1:5" ht="12" hidden="1" customHeight="1" x14ac:dyDescent="0.25">
      <c r="A159" s="838"/>
      <c r="B159" s="770"/>
      <c r="C159" s="108">
        <f>'натур показатели патриотика'!C215</f>
        <v>0</v>
      </c>
      <c r="D159" s="67" t="str">
        <f>'натур показатели патриотика'!D215</f>
        <v>шт</v>
      </c>
      <c r="E159" s="163">
        <f>'таланты+инициативы0,2672'!D256</f>
        <v>0</v>
      </c>
    </row>
    <row r="160" spans="1:5" ht="12" hidden="1" customHeight="1" x14ac:dyDescent="0.25">
      <c r="A160" s="838"/>
      <c r="B160" s="770"/>
      <c r="C160" s="108">
        <f>'натур показатели патриотика'!C216</f>
        <v>0</v>
      </c>
      <c r="D160" s="67" t="str">
        <f>'натур показатели патриотика'!D216</f>
        <v>шт</v>
      </c>
      <c r="E160" s="163">
        <f>'таланты+инициативы0,2672'!D257</f>
        <v>0</v>
      </c>
    </row>
    <row r="161" spans="1:5" ht="12" hidden="1" customHeight="1" x14ac:dyDescent="0.25">
      <c r="A161" s="838"/>
      <c r="B161" s="770"/>
      <c r="C161" s="108">
        <f>'натур показатели патриотика'!C217</f>
        <v>0</v>
      </c>
      <c r="D161" s="67" t="str">
        <f>'натур показатели патриотика'!D217</f>
        <v>шт</v>
      </c>
      <c r="E161" s="163">
        <f>'таланты+инициативы0,2672'!D258</f>
        <v>0</v>
      </c>
    </row>
    <row r="162" spans="1:5" ht="12" hidden="1" customHeight="1" x14ac:dyDescent="0.25">
      <c r="A162" s="838"/>
      <c r="B162" s="770"/>
      <c r="C162" s="108">
        <f>'натур показатели патриотика'!C218</f>
        <v>0</v>
      </c>
      <c r="D162" s="67" t="str">
        <f>'натур показатели патриотика'!D218</f>
        <v>шт</v>
      </c>
      <c r="E162" s="163">
        <f>'таланты+инициативы0,2672'!D259</f>
        <v>0</v>
      </c>
    </row>
    <row r="163" spans="1:5" ht="12" hidden="1" customHeight="1" x14ac:dyDescent="0.25">
      <c r="A163" s="838"/>
      <c r="B163" s="770"/>
      <c r="C163" s="108">
        <f>'натур показатели патриотика'!C219</f>
        <v>0</v>
      </c>
      <c r="D163" s="67" t="str">
        <f>'натур показатели патриотика'!D219</f>
        <v>шт</v>
      </c>
      <c r="E163" s="163">
        <f>'таланты+инициативы0,2672'!D260</f>
        <v>0</v>
      </c>
    </row>
    <row r="164" spans="1:5" ht="12" hidden="1" customHeight="1" x14ac:dyDescent="0.25">
      <c r="A164" s="838"/>
      <c r="B164" s="770"/>
      <c r="C164" s="108">
        <f>'натур показатели патриотика'!C220</f>
        <v>0</v>
      </c>
      <c r="D164" s="67" t="str">
        <f>'натур показатели патриотика'!D220</f>
        <v>шт</v>
      </c>
      <c r="E164" s="163">
        <f>'таланты+инициативы0,2672'!D261</f>
        <v>0</v>
      </c>
    </row>
    <row r="165" spans="1:5" ht="12" hidden="1" customHeight="1" x14ac:dyDescent="0.25">
      <c r="A165" s="838"/>
      <c r="B165" s="770"/>
      <c r="C165" s="108">
        <f>'натур показатели патриотика'!C221</f>
        <v>0</v>
      </c>
      <c r="D165" s="67" t="str">
        <f>'натур показатели патриотика'!D221</f>
        <v>шт</v>
      </c>
      <c r="E165" s="163">
        <f>'таланты+инициативы0,2672'!D262</f>
        <v>0</v>
      </c>
    </row>
    <row r="166" spans="1:5" ht="12" hidden="1" customHeight="1" x14ac:dyDescent="0.25">
      <c r="A166" s="838"/>
      <c r="B166" s="770"/>
      <c r="C166" s="108">
        <f>'натур показатели патриотика'!C222</f>
        <v>0</v>
      </c>
      <c r="D166" s="67" t="str">
        <f>'натур показатели патриотика'!D222</f>
        <v>шт</v>
      </c>
      <c r="E166" s="163">
        <f>'таланты+инициативы0,2672'!D263</f>
        <v>0</v>
      </c>
    </row>
    <row r="167" spans="1:5" ht="12" hidden="1" customHeight="1" x14ac:dyDescent="0.25">
      <c r="A167" s="838"/>
      <c r="B167" s="770"/>
      <c r="C167" s="108">
        <f>'натур показатели патриотика'!C223</f>
        <v>0</v>
      </c>
      <c r="D167" s="67" t="str">
        <f>'натур показатели патриотика'!D223</f>
        <v>шт</v>
      </c>
      <c r="E167" s="163">
        <f>'таланты+инициативы0,2672'!D264</f>
        <v>0</v>
      </c>
    </row>
    <row r="168" spans="1:5" ht="12" hidden="1" customHeight="1" x14ac:dyDescent="0.25">
      <c r="A168" s="838"/>
      <c r="B168" s="770"/>
      <c r="C168" s="108">
        <f>'натур показатели патриотика'!C224</f>
        <v>0</v>
      </c>
      <c r="D168" s="67">
        <f>'натур показатели патриотика'!D224</f>
        <v>0</v>
      </c>
      <c r="E168" s="163">
        <f>'таланты+инициативы0,2672'!D265</f>
        <v>0</v>
      </c>
    </row>
    <row r="169" spans="1:5" ht="12" hidden="1" customHeight="1" x14ac:dyDescent="0.25">
      <c r="A169" s="838"/>
      <c r="B169" s="770"/>
      <c r="C169" s="108">
        <f>'натур показатели патриотика'!C225</f>
        <v>0</v>
      </c>
      <c r="D169" s="67">
        <f>'натур показатели патриотика'!D225</f>
        <v>0</v>
      </c>
      <c r="E169" s="163">
        <f>'таланты+инициативы0,2672'!D266</f>
        <v>0</v>
      </c>
    </row>
    <row r="170" spans="1:5" ht="12" hidden="1" customHeight="1" x14ac:dyDescent="0.25">
      <c r="A170" s="838"/>
      <c r="B170" s="770"/>
      <c r="C170" s="108">
        <f>'натур показатели патриотика'!C226</f>
        <v>0</v>
      </c>
      <c r="D170" s="67">
        <f>'натур показатели патриотика'!D226</f>
        <v>0</v>
      </c>
      <c r="E170" s="163">
        <f>'таланты+инициативы0,2672'!D267</f>
        <v>0</v>
      </c>
    </row>
    <row r="171" spans="1:5" ht="12" hidden="1" customHeight="1" x14ac:dyDescent="0.25">
      <c r="A171" s="838"/>
      <c r="B171" s="770"/>
      <c r="C171" s="108">
        <f>'натур показатели патриотика'!C227</f>
        <v>0</v>
      </c>
      <c r="D171" s="67">
        <f>'натур показатели патриотика'!D227</f>
        <v>0</v>
      </c>
      <c r="E171" s="163">
        <f>'таланты+инициативы0,2672'!D268</f>
        <v>0</v>
      </c>
    </row>
    <row r="172" spans="1:5" ht="12" hidden="1" customHeight="1" x14ac:dyDescent="0.25">
      <c r="A172" s="838"/>
      <c r="B172" s="770"/>
      <c r="C172" s="108">
        <f>'натур показатели патриотика'!C228</f>
        <v>0</v>
      </c>
      <c r="D172" s="67">
        <f>'натур показатели патриотика'!D228</f>
        <v>0</v>
      </c>
      <c r="E172" s="163">
        <f>'таланты+инициативы0,2672'!D269</f>
        <v>0</v>
      </c>
    </row>
    <row r="173" spans="1:5" ht="12" hidden="1" customHeight="1" x14ac:dyDescent="0.25">
      <c r="A173" s="838"/>
      <c r="B173" s="770"/>
      <c r="C173" s="108">
        <f>'натур показатели патриотика'!C229</f>
        <v>0</v>
      </c>
      <c r="D173" s="67">
        <f>'натур показатели патриотика'!D229</f>
        <v>0</v>
      </c>
      <c r="E173" s="163">
        <f>'таланты+инициативы0,2672'!D270</f>
        <v>0</v>
      </c>
    </row>
    <row r="174" spans="1:5" ht="12" hidden="1" customHeight="1" x14ac:dyDescent="0.25">
      <c r="A174" s="838"/>
      <c r="B174" s="770"/>
      <c r="C174" s="108">
        <f>'натур показатели патриотика'!C230</f>
        <v>0</v>
      </c>
      <c r="D174" s="67">
        <f>'натур показатели патриотика'!D230</f>
        <v>0</v>
      </c>
      <c r="E174" s="163">
        <f>'таланты+инициативы0,2672'!D271</f>
        <v>0</v>
      </c>
    </row>
    <row r="175" spans="1:5" ht="12" hidden="1" customHeight="1" x14ac:dyDescent="0.25">
      <c r="A175" s="838"/>
      <c r="B175" s="770"/>
      <c r="C175" s="108">
        <f>'натур показатели патриотика'!C231</f>
        <v>0</v>
      </c>
      <c r="D175" s="67">
        <f>'натур показатели патриотика'!D231</f>
        <v>0</v>
      </c>
      <c r="E175" s="163">
        <f>'таланты+инициативы0,2672'!D272</f>
        <v>0</v>
      </c>
    </row>
    <row r="176" spans="1:5" ht="12" hidden="1" customHeight="1" x14ac:dyDescent="0.25">
      <c r="A176" s="838"/>
      <c r="B176" s="770"/>
      <c r="C176" s="108">
        <f>'натур показатели патриотика'!C232</f>
        <v>0</v>
      </c>
      <c r="D176" s="67">
        <f>'натур показатели патриотика'!D232</f>
        <v>0</v>
      </c>
      <c r="E176" s="163">
        <f>'таланты+инициативы0,2672'!D273</f>
        <v>0</v>
      </c>
    </row>
    <row r="177" spans="1:5" ht="12" hidden="1" customHeight="1" x14ac:dyDescent="0.25">
      <c r="A177" s="838"/>
      <c r="B177" s="770"/>
      <c r="C177" s="108">
        <f>'натур показатели патриотика'!C233</f>
        <v>0</v>
      </c>
      <c r="D177" s="67">
        <f>'натур показатели патриотика'!D233</f>
        <v>0</v>
      </c>
      <c r="E177" s="163">
        <f>'таланты+инициативы0,2672'!D274</f>
        <v>0</v>
      </c>
    </row>
    <row r="178" spans="1:5" ht="12" hidden="1" customHeight="1" x14ac:dyDescent="0.25">
      <c r="A178" s="838"/>
      <c r="B178" s="770"/>
      <c r="C178" s="108">
        <f>'натур показатели патриотика'!C234</f>
        <v>0</v>
      </c>
      <c r="D178" s="67">
        <f>'натур показатели патриотика'!D234</f>
        <v>0</v>
      </c>
      <c r="E178" s="163">
        <f>'таланты+инициативы0,2672'!D275</f>
        <v>0</v>
      </c>
    </row>
    <row r="179" spans="1:5" ht="12" hidden="1" customHeight="1" x14ac:dyDescent="0.25">
      <c r="A179" s="838"/>
      <c r="B179" s="770"/>
      <c r="C179" s="108">
        <f>'натур показатели патриотика'!C235</f>
        <v>0</v>
      </c>
      <c r="D179" s="67">
        <f>'натур показатели патриотика'!D235</f>
        <v>0</v>
      </c>
      <c r="E179" s="163">
        <f>'таланты+инициативы0,2672'!D276</f>
        <v>0</v>
      </c>
    </row>
    <row r="180" spans="1:5" ht="12" hidden="1" customHeight="1" x14ac:dyDescent="0.25">
      <c r="A180" s="838"/>
      <c r="B180" s="770"/>
      <c r="C180" s="108">
        <f>'натур показатели патриотика'!C236</f>
        <v>0</v>
      </c>
      <c r="D180" s="67">
        <f>'натур показатели патриотика'!D236</f>
        <v>0</v>
      </c>
      <c r="E180" s="163">
        <f>'таланты+инициативы0,2672'!D277</f>
        <v>0</v>
      </c>
    </row>
    <row r="181" spans="1:5" ht="12" hidden="1" customHeight="1" x14ac:dyDescent="0.25">
      <c r="A181" s="838"/>
      <c r="B181" s="770"/>
      <c r="C181" s="108">
        <f>'натур показатели патриотика'!C237</f>
        <v>0</v>
      </c>
      <c r="D181" s="67">
        <f>'натур показатели патриотика'!D237</f>
        <v>0</v>
      </c>
      <c r="E181" s="163">
        <f>'таланты+инициативы0,2672'!D278</f>
        <v>0</v>
      </c>
    </row>
    <row r="182" spans="1:5" ht="12" hidden="1" customHeight="1" x14ac:dyDescent="0.25">
      <c r="A182" s="838"/>
      <c r="B182" s="770"/>
      <c r="C182" s="108">
        <f>'натур показатели патриотика'!C238</f>
        <v>0</v>
      </c>
      <c r="D182" s="67">
        <f>'натур показатели патриотика'!D238</f>
        <v>0</v>
      </c>
      <c r="E182" s="163">
        <f>'таланты+инициативы0,2672'!D279</f>
        <v>0</v>
      </c>
    </row>
    <row r="183" spans="1:5" ht="12" hidden="1" customHeight="1" x14ac:dyDescent="0.25">
      <c r="A183" s="838"/>
      <c r="B183" s="770"/>
      <c r="C183" s="108">
        <f>'натур показатели патриотика'!C239</f>
        <v>0</v>
      </c>
      <c r="D183" s="67">
        <f>'натур показатели патриотика'!D239</f>
        <v>0</v>
      </c>
      <c r="E183" s="163">
        <f>'таланты+инициативы0,2672'!D280</f>
        <v>0</v>
      </c>
    </row>
    <row r="184" spans="1:5" ht="12" hidden="1" customHeight="1" x14ac:dyDescent="0.25">
      <c r="A184" s="838"/>
      <c r="B184" s="770"/>
      <c r="C184" s="108">
        <f>'натур показатели патриотика'!C240</f>
        <v>0</v>
      </c>
      <c r="D184" s="67">
        <f>'натур показатели патриотика'!D240</f>
        <v>0</v>
      </c>
      <c r="E184" s="163">
        <f>'таланты+инициативы0,2672'!D281</f>
        <v>0</v>
      </c>
    </row>
    <row r="185" spans="1:5" ht="12" hidden="1" customHeight="1" x14ac:dyDescent="0.25">
      <c r="A185" s="838"/>
      <c r="B185" s="770"/>
      <c r="C185" s="108">
        <f>'натур показатели патриотика'!C241</f>
        <v>0</v>
      </c>
      <c r="D185" s="67">
        <f>'натур показатели патриотика'!D241</f>
        <v>0</v>
      </c>
      <c r="E185" s="163">
        <f>'таланты+инициативы0,2672'!D282</f>
        <v>0</v>
      </c>
    </row>
    <row r="186" spans="1:5" ht="12" hidden="1" customHeight="1" x14ac:dyDescent="0.25">
      <c r="A186" s="838"/>
      <c r="B186" s="770"/>
      <c r="C186" s="108">
        <f>'натур показатели патриотика'!C242</f>
        <v>0</v>
      </c>
      <c r="D186" s="67">
        <f>'натур показатели патриотика'!D242</f>
        <v>0</v>
      </c>
      <c r="E186" s="163">
        <f>'таланты+инициативы0,2672'!D283</f>
        <v>0</v>
      </c>
    </row>
    <row r="187" spans="1:5" ht="12" hidden="1" customHeight="1" x14ac:dyDescent="0.25">
      <c r="A187" s="838"/>
      <c r="B187" s="770"/>
      <c r="C187" s="108">
        <f>'натур показатели патриотика'!C243</f>
        <v>0</v>
      </c>
      <c r="D187" s="67">
        <f>'натур показатели патриотика'!D243</f>
        <v>0</v>
      </c>
      <c r="E187" s="163">
        <f>'таланты+инициативы0,2672'!D284</f>
        <v>0</v>
      </c>
    </row>
    <row r="188" spans="1:5" ht="12" hidden="1" customHeight="1" x14ac:dyDescent="0.25">
      <c r="A188" s="838"/>
      <c r="B188" s="770"/>
      <c r="C188" s="108">
        <f>'натур показатели патриотика'!C244</f>
        <v>0</v>
      </c>
      <c r="D188" s="67">
        <f>'натур показатели патриотика'!D244</f>
        <v>0</v>
      </c>
      <c r="E188" s="163">
        <f>'таланты+инициативы0,2672'!D285</f>
        <v>0</v>
      </c>
    </row>
    <row r="189" spans="1:5" ht="12" hidden="1" customHeight="1" x14ac:dyDescent="0.25">
      <c r="A189" s="838"/>
      <c r="B189" s="770"/>
      <c r="C189" s="108">
        <f>'натур показатели патриотика'!C245</f>
        <v>0</v>
      </c>
      <c r="D189" s="67">
        <f>'натур показатели патриотика'!D245</f>
        <v>0</v>
      </c>
      <c r="E189" s="163">
        <f>'таланты+инициативы0,2672'!D286</f>
        <v>0</v>
      </c>
    </row>
    <row r="190" spans="1:5" ht="12" hidden="1" customHeight="1" x14ac:dyDescent="0.25">
      <c r="A190" s="838"/>
      <c r="B190" s="770"/>
      <c r="C190" s="108">
        <f>'натур показатели патриотика'!C246</f>
        <v>0</v>
      </c>
      <c r="D190" s="67">
        <f>'натур показатели патриотика'!D246</f>
        <v>0</v>
      </c>
      <c r="E190" s="163">
        <f>'таланты+инициативы0,2672'!D287</f>
        <v>0</v>
      </c>
    </row>
    <row r="191" spans="1:5" ht="12" hidden="1" customHeight="1" x14ac:dyDescent="0.25">
      <c r="A191" s="838"/>
      <c r="B191" s="770"/>
      <c r="C191" s="108">
        <f>'натур показатели патриотика'!C247</f>
        <v>0</v>
      </c>
      <c r="D191" s="67">
        <f>'натур показатели патриотика'!D247</f>
        <v>0</v>
      </c>
      <c r="E191" s="163">
        <f>'таланты+инициативы0,2672'!D288</f>
        <v>0</v>
      </c>
    </row>
    <row r="192" spans="1:5" ht="12" hidden="1" customHeight="1" x14ac:dyDescent="0.25">
      <c r="A192" s="838"/>
      <c r="B192" s="770"/>
      <c r="C192" s="108">
        <f>'натур показатели патриотика'!C248</f>
        <v>0</v>
      </c>
      <c r="D192" s="67">
        <f>'натур показатели патриотика'!D248</f>
        <v>0</v>
      </c>
      <c r="E192" s="163">
        <f>'таланты+инициативы0,2672'!D289</f>
        <v>0</v>
      </c>
    </row>
    <row r="193" spans="1:5" ht="12" hidden="1" customHeight="1" x14ac:dyDescent="0.25">
      <c r="A193" s="838"/>
      <c r="B193" s="770"/>
      <c r="C193" s="108">
        <f>'натур показатели патриотика'!C249</f>
        <v>0</v>
      </c>
      <c r="D193" s="67">
        <f>'натур показатели патриотика'!D249</f>
        <v>0</v>
      </c>
      <c r="E193" s="163">
        <f>'таланты+инициативы0,2672'!D290</f>
        <v>0</v>
      </c>
    </row>
    <row r="194" spans="1:5" ht="12" hidden="1" customHeight="1" x14ac:dyDescent="0.25">
      <c r="A194" s="838"/>
      <c r="B194" s="770"/>
      <c r="C194" s="108">
        <f>'натур показатели патриотика'!C250</f>
        <v>0</v>
      </c>
      <c r="D194" s="67">
        <f>'натур показатели патриотика'!D250</f>
        <v>0</v>
      </c>
      <c r="E194" s="163">
        <f>'таланты+инициативы0,2672'!D291</f>
        <v>0</v>
      </c>
    </row>
    <row r="195" spans="1:5" ht="12" hidden="1" customHeight="1" x14ac:dyDescent="0.25">
      <c r="A195" s="838"/>
      <c r="B195" s="770"/>
      <c r="C195" s="108">
        <f>'натур показатели патриотика'!C251</f>
        <v>0</v>
      </c>
      <c r="D195" s="67">
        <f>'натур показатели патриотика'!D251</f>
        <v>0</v>
      </c>
      <c r="E195" s="163">
        <f>'таланты+инициативы0,2672'!D292</f>
        <v>0</v>
      </c>
    </row>
    <row r="196" spans="1:5" ht="12" hidden="1" customHeight="1" x14ac:dyDescent="0.25">
      <c r="A196" s="838"/>
      <c r="B196" s="770"/>
      <c r="C196" s="108">
        <f>'натур показатели патриотика'!C252</f>
        <v>0</v>
      </c>
      <c r="D196" s="67">
        <f>'натур показатели патриотика'!D252</f>
        <v>0</v>
      </c>
      <c r="E196" s="163">
        <f>'таланты+инициативы0,2672'!D293</f>
        <v>0</v>
      </c>
    </row>
    <row r="197" spans="1:5" ht="12" hidden="1" customHeight="1" x14ac:dyDescent="0.25">
      <c r="A197" s="838"/>
      <c r="B197" s="770"/>
      <c r="C197" s="108">
        <f>'натур показатели патриотика'!C253</f>
        <v>0</v>
      </c>
      <c r="D197" s="67">
        <f>'натур показатели патриотика'!D253</f>
        <v>0</v>
      </c>
      <c r="E197" s="163">
        <f>'таланты+инициативы0,2672'!D294</f>
        <v>0</v>
      </c>
    </row>
    <row r="198" spans="1:5" ht="12" hidden="1" customHeight="1" x14ac:dyDescent="0.25">
      <c r="A198" s="838"/>
      <c r="B198" s="770"/>
      <c r="C198" s="108">
        <f>'натур показатели патриотика'!C254</f>
        <v>0</v>
      </c>
      <c r="D198" s="67">
        <f>'натур показатели патриотика'!D254</f>
        <v>0</v>
      </c>
      <c r="E198" s="163">
        <f>'таланты+инициативы0,2672'!D295</f>
        <v>0</v>
      </c>
    </row>
    <row r="199" spans="1:5" ht="12" hidden="1" customHeight="1" x14ac:dyDescent="0.25">
      <c r="A199" s="838"/>
      <c r="B199" s="770"/>
      <c r="C199" s="108">
        <f>'натур показатели патриотика'!C255</f>
        <v>0</v>
      </c>
      <c r="D199" s="67">
        <f>'натур показатели патриотика'!D255</f>
        <v>0</v>
      </c>
      <c r="E199" s="163">
        <f>'таланты+инициативы0,2672'!D296</f>
        <v>0</v>
      </c>
    </row>
    <row r="200" spans="1:5" ht="12" hidden="1" customHeight="1" x14ac:dyDescent="0.25">
      <c r="A200" s="838"/>
      <c r="B200" s="770"/>
      <c r="C200" s="108">
        <f>'натур показатели патриотика'!C256</f>
        <v>0</v>
      </c>
      <c r="D200" s="67">
        <f>'натур показатели патриотика'!D256</f>
        <v>0</v>
      </c>
      <c r="E200" s="163">
        <f>'таланты+инициативы0,2672'!D297</f>
        <v>0</v>
      </c>
    </row>
    <row r="201" spans="1:5" ht="12" hidden="1" customHeight="1" x14ac:dyDescent="0.25">
      <c r="A201" s="838"/>
      <c r="B201" s="770"/>
      <c r="C201" s="108">
        <f>'натур показатели патриотика'!C257</f>
        <v>0</v>
      </c>
      <c r="D201" s="67">
        <f>'натур показатели патриотика'!D257</f>
        <v>0</v>
      </c>
      <c r="E201" s="163">
        <f>'таланты+инициативы0,2672'!D298</f>
        <v>0</v>
      </c>
    </row>
    <row r="202" spans="1:5" ht="12" hidden="1" customHeight="1" x14ac:dyDescent="0.25">
      <c r="A202" s="838"/>
      <c r="B202" s="770"/>
      <c r="C202" s="108">
        <f>'натур показатели патриотика'!C258</f>
        <v>0</v>
      </c>
      <c r="D202" s="67">
        <f>'натур показатели патриотика'!D258</f>
        <v>0</v>
      </c>
      <c r="E202" s="163">
        <f>'таланты+инициативы0,2672'!D299</f>
        <v>0</v>
      </c>
    </row>
    <row r="203" spans="1:5" ht="12" hidden="1" customHeight="1" x14ac:dyDescent="0.25">
      <c r="A203" s="838"/>
      <c r="B203" s="770"/>
      <c r="C203" s="108">
        <f>'натур показатели патриотика'!C259</f>
        <v>0</v>
      </c>
      <c r="D203" s="67">
        <f>'натур показатели патриотика'!D259</f>
        <v>0</v>
      </c>
      <c r="E203" s="163">
        <f>'таланты+инициативы0,2672'!D300</f>
        <v>0</v>
      </c>
    </row>
    <row r="204" spans="1:5" ht="12" hidden="1" customHeight="1" x14ac:dyDescent="0.25">
      <c r="A204" s="838"/>
      <c r="B204" s="770"/>
      <c r="C204" s="108">
        <f>'натур показатели патриотика'!C260</f>
        <v>0</v>
      </c>
      <c r="D204" s="67">
        <f>'натур показатели патриотика'!D260</f>
        <v>0</v>
      </c>
      <c r="E204" s="163">
        <f>'таланты+инициативы0,2672'!D301</f>
        <v>0</v>
      </c>
    </row>
    <row r="205" spans="1:5" hidden="1" x14ac:dyDescent="0.25">
      <c r="A205" s="838"/>
      <c r="B205" s="770"/>
      <c r="C205" s="108">
        <f>'натур показатели патриотика'!C261</f>
        <v>0</v>
      </c>
      <c r="D205" s="67">
        <f>'натур показатели патриотика'!D261</f>
        <v>0</v>
      </c>
      <c r="E205" s="163">
        <f>'таланты+инициативы0,2672'!D302</f>
        <v>0</v>
      </c>
    </row>
    <row r="206" spans="1:5" hidden="1" x14ac:dyDescent="0.25">
      <c r="A206" s="838"/>
      <c r="B206" s="770"/>
      <c r="C206" s="108">
        <f>'натур показатели патриотика'!C262</f>
        <v>0</v>
      </c>
      <c r="D206" s="67">
        <f>'натур показатели патриотика'!D262</f>
        <v>0</v>
      </c>
      <c r="E206" s="163">
        <f>'таланты+инициативы0,2672'!D303</f>
        <v>0</v>
      </c>
    </row>
    <row r="207" spans="1:5" hidden="1" x14ac:dyDescent="0.25">
      <c r="A207" s="838"/>
      <c r="B207" s="770"/>
      <c r="C207" s="108">
        <f>'натур показатели патриотика'!C263</f>
        <v>0</v>
      </c>
      <c r="D207" s="67">
        <f>'натур показатели патриотика'!D263</f>
        <v>0</v>
      </c>
      <c r="E207" s="163">
        <f>'таланты+инициативы0,2672'!D304</f>
        <v>0</v>
      </c>
    </row>
    <row r="208" spans="1:5" hidden="1" x14ac:dyDescent="0.25">
      <c r="A208" s="838"/>
      <c r="B208" s="770"/>
      <c r="C208" s="108">
        <f>'натур показатели патриотика'!C264</f>
        <v>0</v>
      </c>
      <c r="D208" s="67">
        <f>'натур показатели патриотика'!D264</f>
        <v>0</v>
      </c>
      <c r="E208" s="163">
        <f>'таланты+инициативы0,2672'!D305</f>
        <v>0</v>
      </c>
    </row>
    <row r="209" spans="1:5" hidden="1" x14ac:dyDescent="0.25">
      <c r="A209" s="838"/>
      <c r="B209" s="770"/>
      <c r="C209" s="108">
        <f>'натур показатели патриотика'!C265</f>
        <v>0</v>
      </c>
      <c r="D209" s="67">
        <f>'натур показатели патриотика'!D265</f>
        <v>0</v>
      </c>
      <c r="E209" s="163">
        <f>'таланты+инициативы0,2672'!D306</f>
        <v>0</v>
      </c>
    </row>
    <row r="210" spans="1:5" hidden="1" x14ac:dyDescent="0.25">
      <c r="A210" s="838"/>
      <c r="B210" s="770"/>
      <c r="C210" s="108">
        <f>'натур показатели патриотика'!C266</f>
        <v>0</v>
      </c>
      <c r="D210" s="67">
        <f>'натур показатели патриотика'!D266</f>
        <v>0</v>
      </c>
      <c r="E210" s="163">
        <f>'таланты+инициативы0,2672'!D307</f>
        <v>0</v>
      </c>
    </row>
    <row r="211" spans="1:5" hidden="1" x14ac:dyDescent="0.25">
      <c r="A211" s="838"/>
      <c r="B211" s="770"/>
      <c r="C211" s="108">
        <f>'натур показатели патриотика'!C267</f>
        <v>0</v>
      </c>
      <c r="D211" s="67">
        <f>'натур показатели патриотика'!D267</f>
        <v>0</v>
      </c>
      <c r="E211" s="163">
        <f>'таланты+инициативы0,2672'!D308</f>
        <v>0</v>
      </c>
    </row>
    <row r="212" spans="1:5" hidden="1" x14ac:dyDescent="0.25">
      <c r="A212" s="838"/>
      <c r="B212" s="770"/>
      <c r="C212" s="108">
        <f>'натур показатели патриотика'!C268</f>
        <v>0</v>
      </c>
      <c r="D212" s="67">
        <f>'натур показатели патриотика'!D268</f>
        <v>0</v>
      </c>
      <c r="E212" s="163">
        <f>'таланты+инициативы0,2672'!D309</f>
        <v>0</v>
      </c>
    </row>
    <row r="213" spans="1:5" hidden="1" x14ac:dyDescent="0.25">
      <c r="A213" s="838"/>
      <c r="B213" s="770"/>
      <c r="C213" s="108">
        <f>'натур показатели патриотика'!C269</f>
        <v>0</v>
      </c>
      <c r="D213" s="67">
        <f>'натур показатели патриотика'!D269</f>
        <v>0</v>
      </c>
      <c r="E213" s="163">
        <f>'таланты+инициативы0,2672'!D310</f>
        <v>0</v>
      </c>
    </row>
    <row r="214" spans="1:5" hidden="1" x14ac:dyDescent="0.25">
      <c r="A214" s="838"/>
      <c r="B214" s="770"/>
      <c r="C214" s="108">
        <f>'натур показатели патриотика'!C270</f>
        <v>0</v>
      </c>
      <c r="D214" s="67">
        <f>'натур показатели патриотика'!D270</f>
        <v>0</v>
      </c>
      <c r="E214" s="163">
        <f>'таланты+инициативы0,2672'!D311</f>
        <v>0</v>
      </c>
    </row>
    <row r="215" spans="1:5" hidden="1" x14ac:dyDescent="0.25">
      <c r="A215" s="838"/>
      <c r="B215" s="770"/>
      <c r="C215" s="108">
        <f>'натур показатели патриотика'!C271</f>
        <v>0</v>
      </c>
      <c r="D215" s="67">
        <f>'натур показатели патриотика'!D271</f>
        <v>0</v>
      </c>
      <c r="E215" s="163">
        <f>'таланты+инициативы0,2672'!D312</f>
        <v>0</v>
      </c>
    </row>
    <row r="216" spans="1:5" hidden="1" x14ac:dyDescent="0.25">
      <c r="A216" s="838"/>
      <c r="B216" s="770"/>
      <c r="C216" s="108">
        <f>'натур показатели патриотика'!C272</f>
        <v>0</v>
      </c>
      <c r="D216" s="67">
        <f>'натур показатели патриотика'!D272</f>
        <v>0</v>
      </c>
      <c r="E216" s="163">
        <f>'таланты+инициативы0,2672'!D313</f>
        <v>0</v>
      </c>
    </row>
    <row r="217" spans="1:5" hidden="1" x14ac:dyDescent="0.25">
      <c r="A217" s="838"/>
      <c r="B217" s="770"/>
      <c r="C217" s="108">
        <f>'натур показатели патриотика'!C273</f>
        <v>0</v>
      </c>
      <c r="D217" s="67">
        <f>'натур показатели патриотика'!D273</f>
        <v>0</v>
      </c>
      <c r="E217" s="163">
        <f>'таланты+инициативы0,2672'!D314</f>
        <v>0</v>
      </c>
    </row>
    <row r="218" spans="1:5" hidden="1" x14ac:dyDescent="0.25">
      <c r="A218" s="838"/>
      <c r="B218" s="770"/>
      <c r="C218" s="108">
        <f>'натур показатели патриотика'!C274</f>
        <v>0</v>
      </c>
      <c r="D218" s="67">
        <f>'натур показатели патриотика'!D274</f>
        <v>0</v>
      </c>
      <c r="E218" s="163">
        <f>'таланты+инициативы0,2672'!D315</f>
        <v>0</v>
      </c>
    </row>
    <row r="219" spans="1:5" hidden="1" x14ac:dyDescent="0.25">
      <c r="A219" s="838"/>
      <c r="B219" s="770"/>
      <c r="C219" s="108">
        <f>'натур показатели патриотика'!C275</f>
        <v>0</v>
      </c>
      <c r="D219" s="67">
        <f>'натур показатели патриотика'!D275</f>
        <v>0</v>
      </c>
      <c r="E219" s="163">
        <f>'таланты+инициативы0,2672'!D316</f>
        <v>0</v>
      </c>
    </row>
    <row r="220" spans="1:5" hidden="1" x14ac:dyDescent="0.25">
      <c r="A220" s="838"/>
      <c r="B220" s="770"/>
      <c r="C220" s="108">
        <f>'натур показатели патриотика'!C276</f>
        <v>0</v>
      </c>
      <c r="D220" s="67">
        <f>'натур показатели патриотика'!D276</f>
        <v>0</v>
      </c>
      <c r="E220" s="163">
        <f>'таланты+инициативы0,2672'!D317</f>
        <v>0</v>
      </c>
    </row>
    <row r="221" spans="1:5" hidden="1" x14ac:dyDescent="0.25">
      <c r="A221" s="838"/>
      <c r="B221" s="770"/>
      <c r="C221" s="108">
        <f>'натур показатели патриотика'!C277</f>
        <v>0</v>
      </c>
      <c r="D221" s="67">
        <f>'натур показатели патриотика'!D277</f>
        <v>0</v>
      </c>
      <c r="E221" s="163">
        <f>'таланты+инициативы0,2672'!D318</f>
        <v>0</v>
      </c>
    </row>
    <row r="222" spans="1:5" hidden="1" x14ac:dyDescent="0.25">
      <c r="A222" s="838"/>
      <c r="B222" s="770"/>
      <c r="C222" s="108">
        <f>'натур показатели патриотика'!C278</f>
        <v>0</v>
      </c>
      <c r="D222" s="67">
        <f>'натур показатели патриотика'!D278</f>
        <v>0</v>
      </c>
      <c r="E222" s="163">
        <f>'таланты+инициативы0,2672'!D319</f>
        <v>0</v>
      </c>
    </row>
    <row r="223" spans="1:5" hidden="1" x14ac:dyDescent="0.25">
      <c r="A223" s="838"/>
      <c r="B223" s="770"/>
      <c r="C223" s="108">
        <f>'натур показатели патриотика'!C279</f>
        <v>0</v>
      </c>
      <c r="D223" s="67">
        <f>'натур показатели патриотика'!D279</f>
        <v>0</v>
      </c>
      <c r="E223" s="163">
        <f>'таланты+инициативы0,2672'!D320</f>
        <v>0</v>
      </c>
    </row>
    <row r="224" spans="1:5" hidden="1" x14ac:dyDescent="0.25">
      <c r="A224" s="838"/>
      <c r="B224" s="770"/>
      <c r="C224" s="108">
        <f>'натур показатели патриотика'!C280</f>
        <v>0</v>
      </c>
      <c r="D224" s="67">
        <f>'натур показатели патриотика'!D280</f>
        <v>0</v>
      </c>
      <c r="E224" s="163">
        <f>'таланты+инициативы0,2672'!D321</f>
        <v>0</v>
      </c>
    </row>
    <row r="225" spans="1:5" hidden="1" x14ac:dyDescent="0.25">
      <c r="A225" s="838"/>
      <c r="B225" s="770"/>
      <c r="C225" s="108">
        <f>'натур показатели патриотика'!C281</f>
        <v>0</v>
      </c>
      <c r="D225" s="67">
        <f>'натур показатели патриотика'!D281</f>
        <v>0</v>
      </c>
      <c r="E225" s="163">
        <f>'таланты+инициативы0,2672'!D322</f>
        <v>0.26719999999999999</v>
      </c>
    </row>
    <row r="226" spans="1:5" hidden="1" x14ac:dyDescent="0.25">
      <c r="A226" s="838"/>
      <c r="B226" s="770"/>
      <c r="C226" s="108">
        <f>'натур показатели патриотика'!C282</f>
        <v>0</v>
      </c>
      <c r="D226" s="67">
        <f>'натур показатели патриотика'!D282</f>
        <v>0</v>
      </c>
      <c r="E226" s="163">
        <f>'таланты+инициативы0,2672'!D323</f>
        <v>0.26719999999999999</v>
      </c>
    </row>
    <row r="227" spans="1:5" hidden="1" x14ac:dyDescent="0.25">
      <c r="A227" s="838"/>
      <c r="B227" s="770"/>
      <c r="C227" s="108">
        <f>'натур показатели патриотика'!C283</f>
        <v>0</v>
      </c>
      <c r="D227" s="67">
        <f>'натур показатели патриотика'!D283</f>
        <v>0</v>
      </c>
      <c r="E227" s="163">
        <f>'таланты+инициативы0,2672'!D324</f>
        <v>0.26719999999999999</v>
      </c>
    </row>
    <row r="228" spans="1:5" hidden="1" x14ac:dyDescent="0.25">
      <c r="A228" s="838"/>
      <c r="B228" s="770"/>
      <c r="C228" s="108">
        <f>'натур показатели патриотика'!C284</f>
        <v>0</v>
      </c>
      <c r="D228" s="67">
        <f>'натур показатели патриотика'!D284</f>
        <v>0</v>
      </c>
      <c r="E228" s="163">
        <f>'таланты+инициативы0,2672'!D325</f>
        <v>0.26719999999999999</v>
      </c>
    </row>
    <row r="229" spans="1:5" hidden="1" x14ac:dyDescent="0.25">
      <c r="A229" s="838"/>
      <c r="B229" s="770"/>
      <c r="C229" s="108">
        <f>'натур показатели патриотика'!C285</f>
        <v>0</v>
      </c>
      <c r="D229" s="67">
        <f>'натур показатели патриотика'!D285</f>
        <v>0</v>
      </c>
      <c r="E229" s="163">
        <f>'таланты+инициативы0,2672'!D326</f>
        <v>0.26719999999999999</v>
      </c>
    </row>
    <row r="230" spans="1:5" hidden="1" x14ac:dyDescent="0.25">
      <c r="A230" s="838"/>
      <c r="B230" s="770"/>
      <c r="C230" s="108">
        <f>'натур показатели патриотика'!C286</f>
        <v>0</v>
      </c>
      <c r="D230" s="67">
        <f>'натур показатели патриотика'!D286</f>
        <v>0</v>
      </c>
      <c r="E230" s="163">
        <f>'таланты+инициативы0,2672'!D327</f>
        <v>0.26719999999999999</v>
      </c>
    </row>
    <row r="231" spans="1:5" hidden="1" x14ac:dyDescent="0.25">
      <c r="A231" s="838"/>
      <c r="B231" s="770"/>
      <c r="C231" s="108">
        <f>'натур показатели патриотика'!C287</f>
        <v>0</v>
      </c>
      <c r="D231" s="67">
        <f>'натур показатели патриотика'!D287</f>
        <v>0</v>
      </c>
      <c r="E231" s="163">
        <f>'таланты+инициативы0,2672'!D328</f>
        <v>0.26719999999999999</v>
      </c>
    </row>
    <row r="232" spans="1:5" hidden="1" x14ac:dyDescent="0.25">
      <c r="A232" s="838"/>
      <c r="B232" s="770"/>
      <c r="C232" s="108">
        <f>'натур показатели патриотика'!C288</f>
        <v>0</v>
      </c>
      <c r="D232" s="67">
        <f>'натур показатели патриотика'!D288</f>
        <v>0</v>
      </c>
      <c r="E232" s="163">
        <f>'таланты+инициативы0,2672'!D329</f>
        <v>0.26719999999999999</v>
      </c>
    </row>
    <row r="233" spans="1:5" ht="22.5" hidden="1" customHeight="1" x14ac:dyDescent="0.25">
      <c r="A233" s="838"/>
      <c r="B233" s="770"/>
      <c r="C233" s="108">
        <f>'натур показатели патриотика'!C289</f>
        <v>0</v>
      </c>
      <c r="D233" s="67">
        <f>'натур показатели патриотика'!D289</f>
        <v>0</v>
      </c>
      <c r="E233" s="163">
        <f>'таланты+инициативы0,2672'!D330</f>
        <v>0.26719999999999999</v>
      </c>
    </row>
    <row r="234" spans="1:5" hidden="1" x14ac:dyDescent="0.25">
      <c r="A234" s="838"/>
      <c r="B234" s="770"/>
      <c r="C234" s="108">
        <f>'натур показатели патриотика'!C290</f>
        <v>0</v>
      </c>
      <c r="D234" s="67">
        <f>'натур показатели патриотика'!D290</f>
        <v>0</v>
      </c>
      <c r="E234" s="163">
        <f>'таланты+инициативы0,2672'!D331</f>
        <v>0.26719999999999999</v>
      </c>
    </row>
    <row r="235" spans="1:5" hidden="1" x14ac:dyDescent="0.25">
      <c r="A235" s="838"/>
      <c r="B235" s="770"/>
      <c r="C235" s="108">
        <f>'натур показатели патриотика'!C291</f>
        <v>0</v>
      </c>
      <c r="D235" s="67">
        <f>'натур показатели патриотика'!D291</f>
        <v>0</v>
      </c>
      <c r="E235" s="163">
        <f>'таланты+инициативы0,2672'!D332</f>
        <v>0.26719999999999999</v>
      </c>
    </row>
    <row r="236" spans="1:5" hidden="1" x14ac:dyDescent="0.25">
      <c r="A236" s="838"/>
      <c r="B236" s="770"/>
      <c r="C236" s="108">
        <f>'натур показатели патриотика'!C292</f>
        <v>0</v>
      </c>
      <c r="D236" s="67">
        <f>'натур показатели патриотика'!D292</f>
        <v>0</v>
      </c>
      <c r="E236" s="163">
        <f>'таланты+инициативы0,2672'!D333</f>
        <v>0.26719999999999999</v>
      </c>
    </row>
    <row r="237" spans="1:5" hidden="1" x14ac:dyDescent="0.25">
      <c r="A237" s="838"/>
      <c r="B237" s="770"/>
      <c r="C237" s="108">
        <f>'натур показатели патриотика'!C293</f>
        <v>0</v>
      </c>
      <c r="D237" s="67">
        <f>'натур показатели патриотика'!D293</f>
        <v>0</v>
      </c>
      <c r="E237" s="163">
        <f>'таланты+инициативы0,2672'!D334</f>
        <v>0.26719999999999999</v>
      </c>
    </row>
    <row r="238" spans="1:5" hidden="1" x14ac:dyDescent="0.25">
      <c r="A238" s="838"/>
      <c r="B238" s="770"/>
      <c r="C238" s="108">
        <f>'натур показатели патриотика'!C294</f>
        <v>0</v>
      </c>
      <c r="D238" s="67">
        <f>'натур показатели патриотика'!D294</f>
        <v>0</v>
      </c>
      <c r="E238" s="163">
        <f>'таланты+инициативы0,2672'!D335</f>
        <v>0.26719999999999999</v>
      </c>
    </row>
    <row r="239" spans="1:5" hidden="1" x14ac:dyDescent="0.25">
      <c r="A239" s="838"/>
      <c r="B239" s="770"/>
      <c r="C239" s="108">
        <f>'натур показатели патриотика'!C295</f>
        <v>0</v>
      </c>
      <c r="D239" s="67">
        <f>'натур показатели патриотика'!D295</f>
        <v>0</v>
      </c>
      <c r="E239" s="163">
        <f>'таланты+инициативы0,2672'!D336</f>
        <v>0.26719999999999999</v>
      </c>
    </row>
    <row r="240" spans="1:5" hidden="1" x14ac:dyDescent="0.25">
      <c r="A240" s="838"/>
      <c r="B240" s="770"/>
      <c r="C240" s="108">
        <f>'натур показатели патриотика'!C296</f>
        <v>0</v>
      </c>
      <c r="D240" s="67">
        <f>'натур показатели патриотика'!D296</f>
        <v>0</v>
      </c>
      <c r="E240" s="163">
        <f>'таланты+инициативы0,2672'!D337</f>
        <v>0.26719999999999999</v>
      </c>
    </row>
    <row r="241" spans="1:5" hidden="1" x14ac:dyDescent="0.25">
      <c r="A241" s="838"/>
      <c r="B241" s="770"/>
      <c r="C241" s="108">
        <f>'натур показатели патриотика'!C297</f>
        <v>0</v>
      </c>
      <c r="D241" s="67">
        <f>'натур показатели патриотика'!D297</f>
        <v>0</v>
      </c>
      <c r="E241" s="163">
        <f>'таланты+инициативы0,2672'!D338</f>
        <v>0.26719999999999999</v>
      </c>
    </row>
    <row r="242" spans="1:5" hidden="1" x14ac:dyDescent="0.25">
      <c r="A242" s="838"/>
      <c r="B242" s="770"/>
      <c r="C242" s="108">
        <f>'натур показатели патриотика'!C298</f>
        <v>0</v>
      </c>
      <c r="D242" s="67">
        <f>'натур показатели патриотика'!D298</f>
        <v>0</v>
      </c>
      <c r="E242" s="163">
        <f>'таланты+инициативы0,2672'!D339</f>
        <v>0.26719999999999999</v>
      </c>
    </row>
    <row r="243" spans="1:5" hidden="1" x14ac:dyDescent="0.25">
      <c r="A243" s="838"/>
      <c r="B243" s="770"/>
      <c r="C243" s="108">
        <f>'натур показатели патриотика'!C299</f>
        <v>0</v>
      </c>
      <c r="D243" s="67">
        <f>'натур показатели патриотика'!D299</f>
        <v>0</v>
      </c>
      <c r="E243" s="163">
        <f>'таланты+инициативы0,2672'!D340</f>
        <v>0.26719999999999999</v>
      </c>
    </row>
    <row r="244" spans="1:5" hidden="1" x14ac:dyDescent="0.25">
      <c r="A244" s="838"/>
      <c r="B244" s="770"/>
      <c r="C244" s="108">
        <f>'натур показатели патриотика'!C300</f>
        <v>0</v>
      </c>
      <c r="D244" s="67">
        <f>'натур показатели патриотика'!D300</f>
        <v>0</v>
      </c>
      <c r="E244" s="163">
        <f>'таланты+инициативы0,2672'!D341</f>
        <v>0.26719999999999999</v>
      </c>
    </row>
    <row r="245" spans="1:5" hidden="1" x14ac:dyDescent="0.25">
      <c r="A245" s="838"/>
      <c r="B245" s="770"/>
      <c r="C245" s="108">
        <f>'натур показатели патриотика'!C301</f>
        <v>0</v>
      </c>
      <c r="D245" s="67">
        <f>'натур показатели патриотика'!D301</f>
        <v>0</v>
      </c>
      <c r="E245" s="163">
        <f>'таланты+инициативы0,2672'!D342</f>
        <v>0.26719999999999999</v>
      </c>
    </row>
    <row r="246" spans="1:5" hidden="1" x14ac:dyDescent="0.25">
      <c r="A246" s="838"/>
      <c r="B246" s="770"/>
      <c r="C246" s="108">
        <f>'натур показатели патриотика'!C302</f>
        <v>0</v>
      </c>
      <c r="D246" s="67">
        <f>'натур показатели патриотика'!D302</f>
        <v>0</v>
      </c>
      <c r="E246" s="163">
        <f>'таланты+инициативы0,2672'!D343</f>
        <v>0.26719999999999999</v>
      </c>
    </row>
    <row r="247" spans="1:5" hidden="1" x14ac:dyDescent="0.25">
      <c r="A247" s="838"/>
      <c r="B247" s="770"/>
      <c r="C247" s="108">
        <f>'натур показатели патриотика'!C303</f>
        <v>0</v>
      </c>
      <c r="D247" s="67">
        <f>'натур показатели патриотика'!D303</f>
        <v>0</v>
      </c>
      <c r="E247" s="163">
        <f>'таланты+инициативы0,2672'!D344</f>
        <v>0.26719999999999999</v>
      </c>
    </row>
    <row r="248" spans="1:5" hidden="1" x14ac:dyDescent="0.25">
      <c r="A248" s="838"/>
      <c r="B248" s="770"/>
      <c r="C248" s="108">
        <f>'натур показатели патриотика'!C304</f>
        <v>0</v>
      </c>
      <c r="D248" s="67">
        <f>'натур показатели патриотика'!D304</f>
        <v>0</v>
      </c>
      <c r="E248" s="163">
        <f>'таланты+инициативы0,2672'!D345</f>
        <v>0.26719999999999999</v>
      </c>
    </row>
    <row r="249" spans="1:5" hidden="1" x14ac:dyDescent="0.25">
      <c r="A249" s="838"/>
      <c r="B249" s="770"/>
      <c r="C249" s="108">
        <f>'натур показатели патриотика'!C305</f>
        <v>0</v>
      </c>
      <c r="D249" s="67">
        <f>'натур показатели патриотика'!D305</f>
        <v>0</v>
      </c>
      <c r="E249" s="163">
        <f>'таланты+инициативы0,2672'!D346</f>
        <v>0.26719999999999999</v>
      </c>
    </row>
    <row r="250" spans="1:5" hidden="1" x14ac:dyDescent="0.25">
      <c r="A250" s="838"/>
      <c r="B250" s="770"/>
      <c r="C250" s="108">
        <f>'натур показатели патриотика'!C306</f>
        <v>0</v>
      </c>
      <c r="D250" s="67">
        <f>'натур показатели патриотика'!D306</f>
        <v>0</v>
      </c>
      <c r="E250" s="163">
        <f>'таланты+инициативы0,2672'!D347</f>
        <v>0.26719999999999999</v>
      </c>
    </row>
    <row r="251" spans="1:5" hidden="1" x14ac:dyDescent="0.25">
      <c r="A251" s="838"/>
      <c r="B251" s="770"/>
      <c r="C251" s="108">
        <f>'натур показатели патриотика'!C307</f>
        <v>0</v>
      </c>
      <c r="D251" s="67">
        <f>'натур показатели патриотика'!D307</f>
        <v>0</v>
      </c>
      <c r="E251" s="163">
        <f>'таланты+инициативы0,2672'!D348</f>
        <v>0.26719999999999999</v>
      </c>
    </row>
    <row r="252" spans="1:5" hidden="1" x14ac:dyDescent="0.25">
      <c r="A252" s="838"/>
      <c r="B252" s="770"/>
      <c r="C252" s="108">
        <f>'натур показатели патриотика'!C308</f>
        <v>0</v>
      </c>
      <c r="D252" s="67">
        <f>'натур показатели патриотика'!D308</f>
        <v>0</v>
      </c>
      <c r="E252" s="163">
        <f>'таланты+инициативы0,2672'!D349</f>
        <v>0.26719999999999999</v>
      </c>
    </row>
    <row r="253" spans="1:5" hidden="1" x14ac:dyDescent="0.25">
      <c r="A253" s="838"/>
      <c r="B253" s="770"/>
      <c r="C253" s="108">
        <f>'натур показатели патриотика'!C309</f>
        <v>0</v>
      </c>
      <c r="D253" s="67">
        <f>'натур показатели патриотика'!D309</f>
        <v>0</v>
      </c>
      <c r="E253" s="163">
        <f>'таланты+инициативы0,2672'!D350</f>
        <v>0.26719999999999999</v>
      </c>
    </row>
    <row r="254" spans="1:5" hidden="1" x14ac:dyDescent="0.25">
      <c r="A254" s="838"/>
      <c r="B254" s="770"/>
      <c r="C254" s="108">
        <f>'натур показатели патриотика'!C310</f>
        <v>0</v>
      </c>
      <c r="D254" s="67">
        <f>'натур показатели патриотика'!D310</f>
        <v>0</v>
      </c>
      <c r="E254" s="163">
        <f>'таланты+инициативы0,2672'!D351</f>
        <v>0.26719999999999999</v>
      </c>
    </row>
    <row r="255" spans="1:5" hidden="1" x14ac:dyDescent="0.25">
      <c r="A255" s="838"/>
      <c r="B255" s="770"/>
      <c r="C255" s="108">
        <f>'натур показатели патриотика'!C311</f>
        <v>0</v>
      </c>
      <c r="D255" s="67">
        <f>'натур показатели патриотика'!D311</f>
        <v>0</v>
      </c>
      <c r="E255" s="163">
        <f>'таланты+инициативы0,2672'!D352</f>
        <v>0.26719999999999999</v>
      </c>
    </row>
    <row r="256" spans="1:5" hidden="1" x14ac:dyDescent="0.25">
      <c r="A256" s="838"/>
      <c r="B256" s="770"/>
      <c r="C256" s="108">
        <f>'натур показатели патриотика'!C312</f>
        <v>0</v>
      </c>
      <c r="D256" s="67">
        <f>'натур показатели патриотика'!D312</f>
        <v>0</v>
      </c>
      <c r="E256" s="163">
        <f>'таланты+инициативы0,2672'!D353</f>
        <v>0.26719999999999999</v>
      </c>
    </row>
    <row r="257" spans="1:5" hidden="1" x14ac:dyDescent="0.25">
      <c r="A257" s="838"/>
      <c r="B257" s="770"/>
      <c r="C257" s="108">
        <f>'натур показатели патриотика'!C313</f>
        <v>0</v>
      </c>
      <c r="D257" s="67">
        <f>'натур показатели патриотика'!D313</f>
        <v>0</v>
      </c>
      <c r="E257" s="163">
        <f>'таланты+инициативы0,2672'!D354</f>
        <v>0.26719999999999999</v>
      </c>
    </row>
    <row r="258" spans="1:5" hidden="1" x14ac:dyDescent="0.25">
      <c r="A258" s="838"/>
      <c r="B258" s="770"/>
      <c r="C258" s="108">
        <f>'натур показатели патриотика'!C314</f>
        <v>0</v>
      </c>
      <c r="D258" s="67">
        <f>'натур показатели патриотика'!D314</f>
        <v>0</v>
      </c>
      <c r="E258" s="163">
        <f>'таланты+инициативы0,2672'!D355</f>
        <v>0.26719999999999999</v>
      </c>
    </row>
    <row r="259" spans="1:5" hidden="1" x14ac:dyDescent="0.25">
      <c r="A259" s="838"/>
      <c r="B259" s="770"/>
      <c r="C259" s="108">
        <f>'натур показатели патриотика'!C315</f>
        <v>0</v>
      </c>
      <c r="D259" s="67">
        <f>'натур показатели патриотика'!D315</f>
        <v>0</v>
      </c>
      <c r="E259" s="163">
        <f>'таланты+инициативы0,2672'!D356</f>
        <v>0.26719999999999999</v>
      </c>
    </row>
    <row r="260" spans="1:5" hidden="1" x14ac:dyDescent="0.25">
      <c r="A260" s="838"/>
      <c r="B260" s="770"/>
      <c r="C260" s="108">
        <f>'натур показатели патриотика'!C316</f>
        <v>0</v>
      </c>
      <c r="D260" s="67">
        <f>'натур показатели патриотика'!D316</f>
        <v>0</v>
      </c>
      <c r="E260" s="163">
        <f>'таланты+инициативы0,2672'!D357</f>
        <v>0.26719999999999999</v>
      </c>
    </row>
    <row r="261" spans="1:5" hidden="1" x14ac:dyDescent="0.25">
      <c r="A261" s="838"/>
      <c r="B261" s="770"/>
      <c r="C261" s="108">
        <f>'натур показатели патриотика'!C317</f>
        <v>0</v>
      </c>
      <c r="D261" s="67">
        <f>'натур показатели патриотика'!D317</f>
        <v>0</v>
      </c>
      <c r="E261" s="163">
        <f>'таланты+инициативы0,2672'!D358</f>
        <v>0.26719999999999999</v>
      </c>
    </row>
    <row r="262" spans="1:5" hidden="1" x14ac:dyDescent="0.25">
      <c r="A262" s="838"/>
      <c r="B262" s="770"/>
      <c r="C262" s="108">
        <f>'натур показатели патриотика'!C318</f>
        <v>0</v>
      </c>
      <c r="D262" s="67">
        <f>'натур показатели патриотика'!D318</f>
        <v>0</v>
      </c>
      <c r="E262" s="163">
        <f>'таланты+инициативы0,2672'!D359</f>
        <v>0.26719999999999999</v>
      </c>
    </row>
    <row r="263" spans="1:5" hidden="1" x14ac:dyDescent="0.25">
      <c r="A263" s="838"/>
      <c r="B263" s="770"/>
      <c r="C263" s="108">
        <f>'натур показатели патриотика'!C319</f>
        <v>0</v>
      </c>
      <c r="D263" s="67">
        <f>'натур показатели патриотика'!D319</f>
        <v>0</v>
      </c>
      <c r="E263" s="163">
        <f>'таланты+инициативы0,2672'!D360</f>
        <v>0.26719999999999999</v>
      </c>
    </row>
    <row r="264" spans="1:5" hidden="1" x14ac:dyDescent="0.25">
      <c r="A264" s="838"/>
      <c r="B264" s="770"/>
      <c r="C264" s="108">
        <f>'натур показатели патриотика'!C320</f>
        <v>0</v>
      </c>
      <c r="D264" s="67">
        <f>'натур показатели патриотика'!D320</f>
        <v>0</v>
      </c>
      <c r="E264" s="163">
        <f>'таланты+инициативы0,2672'!D361</f>
        <v>0.26719999999999999</v>
      </c>
    </row>
    <row r="265" spans="1:5" hidden="1" x14ac:dyDescent="0.25">
      <c r="A265" s="838"/>
      <c r="B265" s="770"/>
      <c r="C265" s="108">
        <f>'натур показатели патриотика'!C321</f>
        <v>0</v>
      </c>
      <c r="D265" s="67">
        <f>'натур показатели патриотика'!D321</f>
        <v>0</v>
      </c>
      <c r="E265" s="163">
        <f>'таланты+инициативы0,2672'!D362</f>
        <v>0.26719999999999999</v>
      </c>
    </row>
    <row r="266" spans="1:5" hidden="1" x14ac:dyDescent="0.25">
      <c r="A266" s="838"/>
      <c r="B266" s="770"/>
      <c r="C266" s="108">
        <f>'натур показатели патриотика'!C322</f>
        <v>0</v>
      </c>
      <c r="D266" s="67">
        <f>'натур показатели патриотика'!D322</f>
        <v>0</v>
      </c>
      <c r="E266" s="163">
        <f>'таланты+инициативы0,2672'!D363</f>
        <v>0.26719999999999999</v>
      </c>
    </row>
    <row r="267" spans="1:5" hidden="1" x14ac:dyDescent="0.25">
      <c r="A267" s="838"/>
      <c r="B267" s="770"/>
      <c r="C267" s="108">
        <f>'натур показатели патриотика'!C323</f>
        <v>0</v>
      </c>
      <c r="D267" s="67">
        <f>'натур показатели патриотика'!D323</f>
        <v>0</v>
      </c>
      <c r="E267" s="163">
        <f>'таланты+инициативы0,2672'!D364</f>
        <v>0.26719999999999999</v>
      </c>
    </row>
    <row r="268" spans="1:5" hidden="1" x14ac:dyDescent="0.25">
      <c r="A268" s="838"/>
      <c r="B268" s="770"/>
      <c r="C268" s="108">
        <f>'натур показатели патриотика'!C324</f>
        <v>0</v>
      </c>
      <c r="D268" s="67">
        <f>'натур показатели патриотика'!D324</f>
        <v>0</v>
      </c>
      <c r="E268" s="163">
        <f>'таланты+инициативы0,2672'!D365</f>
        <v>0.26719999999999999</v>
      </c>
    </row>
    <row r="269" spans="1:5" hidden="1" x14ac:dyDescent="0.25">
      <c r="A269" s="838"/>
      <c r="B269" s="770"/>
      <c r="C269" s="108">
        <f>'натур показатели патриотика'!C325</f>
        <v>0</v>
      </c>
      <c r="D269" s="67">
        <f>'натур показатели патриотика'!D325</f>
        <v>0</v>
      </c>
      <c r="E269" s="163">
        <f>'таланты+инициативы0,2672'!D366</f>
        <v>0.26719999999999999</v>
      </c>
    </row>
    <row r="270" spans="1:5" hidden="1" x14ac:dyDescent="0.25">
      <c r="A270" s="838"/>
      <c r="B270" s="770"/>
      <c r="C270" s="108">
        <f>'натур показатели патриотика'!C326</f>
        <v>0</v>
      </c>
      <c r="D270" s="67">
        <f>'натур показатели патриотика'!D326</f>
        <v>0</v>
      </c>
      <c r="E270" s="163">
        <f>'таланты+инициативы0,2672'!D367</f>
        <v>0.26719999999999999</v>
      </c>
    </row>
    <row r="271" spans="1:5" hidden="1" x14ac:dyDescent="0.25">
      <c r="A271" s="838"/>
      <c r="B271" s="770"/>
      <c r="C271" s="108">
        <f>'натур показатели патриотика'!C327</f>
        <v>0</v>
      </c>
      <c r="D271" s="67">
        <f>'натур показатели патриотика'!D327</f>
        <v>0</v>
      </c>
      <c r="E271" s="163">
        <f>'таланты+инициативы0,2672'!D368</f>
        <v>0.26719999999999999</v>
      </c>
    </row>
    <row r="272" spans="1:5" hidden="1" x14ac:dyDescent="0.25">
      <c r="A272" s="838"/>
      <c r="B272" s="770"/>
      <c r="C272" s="108">
        <f>'натур показатели патриотика'!C328</f>
        <v>0</v>
      </c>
      <c r="D272" s="67">
        <f>'натур показатели патриотика'!D328</f>
        <v>0</v>
      </c>
      <c r="E272" s="163">
        <f>'таланты+инициативы0,2672'!D369</f>
        <v>0.26719999999999999</v>
      </c>
    </row>
    <row r="273" spans="1:5" hidden="1" x14ac:dyDescent="0.25">
      <c r="A273" s="838"/>
      <c r="B273" s="770"/>
      <c r="C273" s="108">
        <f>'натур показатели патриотика'!C329</f>
        <v>0</v>
      </c>
      <c r="D273" s="67">
        <f>'натур показатели патриотика'!D329</f>
        <v>0</v>
      </c>
      <c r="E273" s="163">
        <f>'таланты+инициативы0,2672'!D370</f>
        <v>0.26719999999999999</v>
      </c>
    </row>
    <row r="274" spans="1:5" hidden="1" x14ac:dyDescent="0.25">
      <c r="A274" s="838"/>
      <c r="B274" s="770"/>
      <c r="C274" s="108">
        <f>'натур показатели патриотика'!C330</f>
        <v>0</v>
      </c>
      <c r="D274" s="67">
        <f>'натур показатели патриотика'!D330</f>
        <v>0</v>
      </c>
      <c r="E274" s="163">
        <f>'таланты+инициативы0,2672'!D371</f>
        <v>0.26719999999999999</v>
      </c>
    </row>
    <row r="275" spans="1:5" hidden="1" x14ac:dyDescent="0.25">
      <c r="A275" s="838"/>
      <c r="B275" s="770"/>
      <c r="C275" s="108">
        <f>'натур показатели патриотика'!C331</f>
        <v>0</v>
      </c>
      <c r="D275" s="67">
        <f>'натур показатели патриотика'!D331</f>
        <v>0</v>
      </c>
      <c r="E275" s="163">
        <f>'таланты+инициативы0,2672'!D372</f>
        <v>0.26719999999999999</v>
      </c>
    </row>
    <row r="276" spans="1:5" hidden="1" x14ac:dyDescent="0.25">
      <c r="A276" s="838"/>
      <c r="B276" s="770"/>
      <c r="C276" s="108">
        <f>'натур показатели патриотика'!C332</f>
        <v>0</v>
      </c>
      <c r="D276" s="67">
        <f>'натур показатели патриотика'!D332</f>
        <v>0</v>
      </c>
      <c r="E276" s="163">
        <f>'таланты+инициативы0,2672'!D373</f>
        <v>0.26719999999999999</v>
      </c>
    </row>
    <row r="277" spans="1:5" hidden="1" x14ac:dyDescent="0.25">
      <c r="A277" s="838"/>
      <c r="B277" s="770"/>
      <c r="C277" s="108">
        <f>'натур показатели патриотика'!C333</f>
        <v>0</v>
      </c>
      <c r="D277" s="67">
        <f>'натур показатели патриотика'!D333</f>
        <v>0</v>
      </c>
      <c r="E277" s="163">
        <f>'таланты+инициативы0,2672'!D374</f>
        <v>0.26719999999999999</v>
      </c>
    </row>
    <row r="278" spans="1:5" hidden="1" x14ac:dyDescent="0.25">
      <c r="A278" s="838"/>
      <c r="B278" s="770"/>
      <c r="C278" s="108">
        <f>'натур показатели патриотика'!C334</f>
        <v>0</v>
      </c>
      <c r="D278" s="67">
        <f>'натур показатели патриотика'!D334</f>
        <v>0</v>
      </c>
      <c r="E278" s="163">
        <f>'таланты+инициативы0,2672'!D375</f>
        <v>0.26719999999999999</v>
      </c>
    </row>
    <row r="279" spans="1:5" hidden="1" x14ac:dyDescent="0.25">
      <c r="A279" s="838"/>
      <c r="B279" s="770"/>
      <c r="C279" s="108">
        <f>'натур показатели патриотика'!C335</f>
        <v>0</v>
      </c>
      <c r="D279" s="67">
        <f>'натур показатели патриотика'!D335</f>
        <v>0</v>
      </c>
      <c r="E279" s="163">
        <f>'таланты+инициативы0,2672'!D376</f>
        <v>0.26719999999999999</v>
      </c>
    </row>
    <row r="280" spans="1:5" hidden="1" x14ac:dyDescent="0.25">
      <c r="A280" s="838"/>
      <c r="B280" s="770"/>
      <c r="C280" s="108">
        <f>'натур показатели патриотика'!C336</f>
        <v>0</v>
      </c>
      <c r="D280" s="67">
        <f>'натур показатели патриотика'!D336</f>
        <v>0</v>
      </c>
      <c r="E280" s="163">
        <f>'таланты+инициативы0,2672'!D377</f>
        <v>0.26719999999999999</v>
      </c>
    </row>
    <row r="281" spans="1:5" hidden="1" x14ac:dyDescent="0.25">
      <c r="A281" s="838"/>
      <c r="B281" s="770"/>
      <c r="C281" s="108">
        <f>'натур показатели патриотика'!C337</f>
        <v>0</v>
      </c>
      <c r="D281" s="67">
        <f>'натур показатели патриотика'!D337</f>
        <v>0</v>
      </c>
      <c r="E281" s="163">
        <f>'таланты+инициативы0,2672'!D378</f>
        <v>0.26719999999999999</v>
      </c>
    </row>
    <row r="282" spans="1:5" hidden="1" x14ac:dyDescent="0.25">
      <c r="A282" s="838"/>
      <c r="B282" s="770"/>
      <c r="C282" s="108">
        <f>'натур показатели патриотика'!C338</f>
        <v>0</v>
      </c>
      <c r="D282" s="67">
        <f>'натур показатели патриотика'!D338</f>
        <v>0</v>
      </c>
      <c r="E282" s="163">
        <f>'таланты+инициативы0,2672'!D379</f>
        <v>0.26719999999999999</v>
      </c>
    </row>
    <row r="283" spans="1:5" hidden="1" x14ac:dyDescent="0.25">
      <c r="A283" s="838"/>
      <c r="B283" s="770"/>
      <c r="C283" s="108">
        <f>'натур показатели патриотика'!C339</f>
        <v>0</v>
      </c>
      <c r="D283" s="67">
        <f>'натур показатели патриотика'!D339</f>
        <v>0</v>
      </c>
      <c r="E283" s="163">
        <f>'таланты+инициативы0,2672'!D380</f>
        <v>0.26719999999999999</v>
      </c>
    </row>
    <row r="284" spans="1:5" hidden="1" x14ac:dyDescent="0.25">
      <c r="A284" s="838"/>
      <c r="B284" s="770"/>
      <c r="C284" s="108">
        <f>'натур показатели патриотика'!C340</f>
        <v>0</v>
      </c>
      <c r="D284" s="67">
        <f>'натур показатели патриотика'!D340</f>
        <v>0</v>
      </c>
      <c r="E284" s="163">
        <f>'таланты+инициативы0,2672'!D381</f>
        <v>0.26719999999999999</v>
      </c>
    </row>
    <row r="285" spans="1:5" hidden="1" x14ac:dyDescent="0.25">
      <c r="A285" s="838"/>
      <c r="B285" s="770"/>
      <c r="C285" s="108">
        <f>'натур показатели патриотика'!C341</f>
        <v>0</v>
      </c>
      <c r="D285" s="67">
        <f>'натур показатели патриотика'!D341</f>
        <v>0</v>
      </c>
      <c r="E285" s="163">
        <f>'таланты+инициативы0,2672'!D382</f>
        <v>0.26719999999999999</v>
      </c>
    </row>
    <row r="286" spans="1:5" hidden="1" x14ac:dyDescent="0.25">
      <c r="A286" s="838"/>
      <c r="B286" s="770"/>
      <c r="C286" s="108">
        <f>'натур показатели патриотика'!C342</f>
        <v>0</v>
      </c>
      <c r="D286" s="67">
        <f>'натур показатели патриотика'!D342</f>
        <v>0</v>
      </c>
      <c r="E286" s="163">
        <f>'таланты+инициативы0,2672'!D383</f>
        <v>0.26719999999999999</v>
      </c>
    </row>
    <row r="287" spans="1:5" hidden="1" x14ac:dyDescent="0.25">
      <c r="A287" s="838"/>
      <c r="B287" s="770"/>
      <c r="C287" s="108">
        <f>'натур показатели патриотика'!C343</f>
        <v>0</v>
      </c>
      <c r="D287" s="67">
        <f>'натур показатели патриотика'!D343</f>
        <v>0</v>
      </c>
      <c r="E287" s="163">
        <f>'таланты+инициативы0,2672'!D384</f>
        <v>0.26719999999999999</v>
      </c>
    </row>
    <row r="288" spans="1:5" hidden="1" x14ac:dyDescent="0.25">
      <c r="A288" s="838"/>
      <c r="B288" s="770"/>
      <c r="C288" s="108">
        <f>'натур показатели патриотика'!C344</f>
        <v>0</v>
      </c>
      <c r="D288" s="67">
        <f>'натур показатели патриотика'!D344</f>
        <v>0</v>
      </c>
      <c r="E288" s="163">
        <f>'таланты+инициативы0,2672'!D385</f>
        <v>0.26719999999999999</v>
      </c>
    </row>
    <row r="289" spans="1:5" hidden="1" x14ac:dyDescent="0.25">
      <c r="A289" s="838"/>
      <c r="B289" s="770"/>
      <c r="C289" s="108">
        <f>'натур показатели патриотика'!C345</f>
        <v>0</v>
      </c>
      <c r="D289" s="67">
        <f>'натур показатели патриотика'!D345</f>
        <v>0</v>
      </c>
      <c r="E289" s="163">
        <f>'таланты+инициативы0,2672'!D386</f>
        <v>0.26719999999999999</v>
      </c>
    </row>
    <row r="290" spans="1:5" hidden="1" x14ac:dyDescent="0.25">
      <c r="A290" s="838"/>
      <c r="B290" s="770"/>
      <c r="C290" s="108">
        <f>'натур показатели патриотика'!C346</f>
        <v>0</v>
      </c>
      <c r="D290" s="67">
        <f>'натур показатели патриотика'!D346</f>
        <v>0</v>
      </c>
      <c r="E290" s="163">
        <f>'таланты+инициативы0,2672'!D387</f>
        <v>0.26719999999999999</v>
      </c>
    </row>
    <row r="291" spans="1:5" hidden="1" x14ac:dyDescent="0.25">
      <c r="A291" s="838"/>
      <c r="B291" s="770"/>
      <c r="C291" s="108">
        <f>'натур показатели патриотика'!C347</f>
        <v>0</v>
      </c>
      <c r="D291" s="67">
        <f>'натур показатели патриотика'!D347</f>
        <v>0</v>
      </c>
      <c r="E291" s="163">
        <f>'таланты+инициативы0,2672'!D388</f>
        <v>0.26719999999999999</v>
      </c>
    </row>
    <row r="292" spans="1:5" hidden="1" x14ac:dyDescent="0.25">
      <c r="A292" s="838"/>
      <c r="B292" s="770"/>
      <c r="C292" s="108">
        <f>'натур показатели патриотика'!C348</f>
        <v>0</v>
      </c>
      <c r="D292" s="67">
        <f>'натур показатели патриотика'!D348</f>
        <v>0</v>
      </c>
      <c r="E292" s="163">
        <f>'таланты+инициативы0,2672'!D389</f>
        <v>0.26719999999999999</v>
      </c>
    </row>
    <row r="293" spans="1:5" hidden="1" x14ac:dyDescent="0.25">
      <c r="A293" s="838"/>
      <c r="B293" s="770"/>
      <c r="C293" s="108">
        <f>'натур показатели патриотика'!C349</f>
        <v>0</v>
      </c>
      <c r="D293" s="67">
        <f>'натур показатели патриотика'!D349</f>
        <v>0</v>
      </c>
      <c r="E293" s="163">
        <f>'таланты+инициативы0,2672'!D390</f>
        <v>0.26719999999999999</v>
      </c>
    </row>
    <row r="294" spans="1:5" hidden="1" x14ac:dyDescent="0.25">
      <c r="A294" s="838"/>
      <c r="B294" s="770"/>
      <c r="C294" s="108">
        <f>'натур показатели патриотика'!C350</f>
        <v>0</v>
      </c>
      <c r="D294" s="67">
        <f>'натур показатели патриотика'!D350</f>
        <v>0</v>
      </c>
      <c r="E294" s="163">
        <f>'таланты+инициативы0,2672'!D391</f>
        <v>0.26719999999999999</v>
      </c>
    </row>
    <row r="295" spans="1:5" hidden="1" x14ac:dyDescent="0.25">
      <c r="A295" s="838"/>
      <c r="B295" s="770"/>
      <c r="C295" s="108">
        <f>'натур показатели патриотика'!C351</f>
        <v>0</v>
      </c>
      <c r="D295" s="67">
        <f>'натур показатели патриотика'!D351</f>
        <v>0</v>
      </c>
      <c r="E295" s="163">
        <f>'таланты+инициативы0,2672'!D392</f>
        <v>0.26719999999999999</v>
      </c>
    </row>
    <row r="296" spans="1:5" hidden="1" x14ac:dyDescent="0.25">
      <c r="A296" s="838"/>
      <c r="B296" s="770"/>
      <c r="C296" s="108">
        <f>'натур показатели патриотика'!C352</f>
        <v>0</v>
      </c>
      <c r="D296" s="67">
        <f>'натур показатели патриотика'!D352</f>
        <v>0</v>
      </c>
      <c r="E296" s="163">
        <f>'таланты+инициативы0,2672'!D393</f>
        <v>0.26719999999999999</v>
      </c>
    </row>
    <row r="297" spans="1:5" hidden="1" x14ac:dyDescent="0.25">
      <c r="A297" s="838"/>
      <c r="B297" s="770"/>
      <c r="C297" s="108">
        <f>'натур показатели патриотика'!C353</f>
        <v>0</v>
      </c>
      <c r="D297" s="67">
        <f>'натур показатели патриотика'!D353</f>
        <v>0</v>
      </c>
      <c r="E297" s="163">
        <f>'таланты+инициативы0,2672'!D394</f>
        <v>0.26719999999999999</v>
      </c>
    </row>
    <row r="298" spans="1:5" hidden="1" x14ac:dyDescent="0.25">
      <c r="A298" s="838"/>
      <c r="B298" s="770"/>
      <c r="C298" s="108">
        <f>'натур показатели патриотика'!C354</f>
        <v>0</v>
      </c>
      <c r="D298" s="67">
        <f>'натур показатели патриотика'!D354</f>
        <v>0</v>
      </c>
      <c r="E298" s="163">
        <f>'таланты+инициативы0,2672'!D395</f>
        <v>0.26719999999999999</v>
      </c>
    </row>
    <row r="299" spans="1:5" hidden="1" x14ac:dyDescent="0.25">
      <c r="A299" s="838"/>
      <c r="B299" s="770"/>
      <c r="C299" s="108">
        <f>'натур показатели патриотика'!C355</f>
        <v>0</v>
      </c>
      <c r="D299" s="67">
        <f>'натур показатели патриотика'!D355</f>
        <v>0</v>
      </c>
      <c r="E299" s="163">
        <f>'таланты+инициативы0,2672'!D396</f>
        <v>0.26719999999999999</v>
      </c>
    </row>
    <row r="300" spans="1:5" hidden="1" x14ac:dyDescent="0.25">
      <c r="A300" s="838"/>
      <c r="B300" s="770"/>
      <c r="C300" s="108">
        <f>'натур показатели патриотика'!C356</f>
        <v>0</v>
      </c>
      <c r="D300" s="67">
        <f>'натур показатели патриотика'!D356</f>
        <v>0</v>
      </c>
      <c r="E300" s="163">
        <f>'таланты+инициативы0,2672'!D397</f>
        <v>0.26719999999999999</v>
      </c>
    </row>
    <row r="301" spans="1:5" hidden="1" x14ac:dyDescent="0.25">
      <c r="A301" s="838"/>
      <c r="B301" s="770"/>
      <c r="C301" s="108">
        <f>'натур показатели патриотика'!C357</f>
        <v>0</v>
      </c>
      <c r="D301" s="67">
        <f>'натур показатели патриотика'!D357</f>
        <v>0</v>
      </c>
      <c r="E301" s="163">
        <f>'таланты+инициативы0,2672'!D398</f>
        <v>0.26719999999999999</v>
      </c>
    </row>
    <row r="302" spans="1:5" hidden="1" x14ac:dyDescent="0.25">
      <c r="A302" s="838"/>
      <c r="B302" s="770"/>
      <c r="C302" s="108">
        <f>'натур показатели патриотика'!C358</f>
        <v>0</v>
      </c>
      <c r="D302" s="67">
        <f>'натур показатели патриотика'!D358</f>
        <v>0</v>
      </c>
      <c r="E302" s="163">
        <f>'таланты+инициативы0,2672'!D399</f>
        <v>0.26719999999999999</v>
      </c>
    </row>
    <row r="303" spans="1:5" hidden="1" x14ac:dyDescent="0.25">
      <c r="A303" s="838"/>
      <c r="B303" s="770"/>
      <c r="C303" s="108">
        <f>'натур показатели патриотика'!C359</f>
        <v>0</v>
      </c>
      <c r="D303" s="67">
        <f>'натур показатели патриотика'!D359</f>
        <v>0</v>
      </c>
      <c r="E303" s="163">
        <f>'таланты+инициативы0,2672'!D400</f>
        <v>0.26719999999999999</v>
      </c>
    </row>
    <row r="304" spans="1:5" hidden="1" x14ac:dyDescent="0.25">
      <c r="A304" s="838"/>
      <c r="B304" s="770"/>
      <c r="C304" s="108">
        <f>'натур показатели патриотика'!C360</f>
        <v>0</v>
      </c>
      <c r="D304" s="67">
        <f>'натур показатели патриотика'!D360</f>
        <v>0</v>
      </c>
      <c r="E304" s="163">
        <f>'таланты+инициативы0,2672'!D401</f>
        <v>0.26719999999999999</v>
      </c>
    </row>
    <row r="305" spans="1:5" hidden="1" x14ac:dyDescent="0.25">
      <c r="A305" s="838"/>
      <c r="B305" s="770"/>
      <c r="C305" s="108">
        <f>'натур показатели патриотика'!C361</f>
        <v>0</v>
      </c>
      <c r="D305" s="67">
        <f>'натур показатели патриотика'!D361</f>
        <v>0</v>
      </c>
      <c r="E305" s="163">
        <f>'таланты+инициативы0,2672'!D402</f>
        <v>0.26719999999999999</v>
      </c>
    </row>
    <row r="306" spans="1:5" hidden="1" x14ac:dyDescent="0.25">
      <c r="A306" s="838"/>
      <c r="B306" s="770"/>
      <c r="C306" s="108">
        <f>'натур показатели патриотика'!C362</f>
        <v>0</v>
      </c>
      <c r="D306" s="67">
        <f>'натур показатели патриотика'!D362</f>
        <v>0</v>
      </c>
      <c r="E306" s="163">
        <f>'таланты+инициативы0,2672'!D403</f>
        <v>0.26719999999999999</v>
      </c>
    </row>
    <row r="307" spans="1:5" hidden="1" x14ac:dyDescent="0.25">
      <c r="A307" s="838"/>
      <c r="B307" s="770"/>
      <c r="C307" s="108">
        <f>'натур показатели патриотика'!C363</f>
        <v>0</v>
      </c>
      <c r="D307" s="67">
        <f>'натур показатели патриотика'!D363</f>
        <v>0</v>
      </c>
      <c r="E307" s="163">
        <f>'таланты+инициативы0,2672'!D404</f>
        <v>0.26719999999999999</v>
      </c>
    </row>
    <row r="308" spans="1:5" hidden="1" x14ac:dyDescent="0.25">
      <c r="A308" s="838"/>
      <c r="B308" s="770"/>
      <c r="C308" s="108">
        <f>'натур показатели патриотика'!C364</f>
        <v>0</v>
      </c>
      <c r="D308" s="67">
        <f>'натур показатели патриотика'!D364</f>
        <v>0</v>
      </c>
      <c r="E308" s="163">
        <f>'таланты+инициативы0,2672'!D405</f>
        <v>0.26719999999999999</v>
      </c>
    </row>
    <row r="309" spans="1:5" hidden="1" x14ac:dyDescent="0.25">
      <c r="A309" s="838"/>
      <c r="B309" s="770"/>
      <c r="C309" s="108">
        <f>'натур показатели патриотика'!C365</f>
        <v>0</v>
      </c>
      <c r="D309" s="67">
        <f>'натур показатели патриотика'!D365</f>
        <v>0</v>
      </c>
      <c r="E309" s="163">
        <f>'таланты+инициативы0,2672'!D406</f>
        <v>0.26719999999999999</v>
      </c>
    </row>
    <row r="310" spans="1:5" hidden="1" x14ac:dyDescent="0.25">
      <c r="A310" s="838"/>
      <c r="B310" s="770"/>
      <c r="C310" s="108">
        <f>'натур показатели патриотика'!C366</f>
        <v>0</v>
      </c>
      <c r="D310" s="67">
        <f>'натур показатели патриотика'!D366</f>
        <v>0</v>
      </c>
      <c r="E310" s="163">
        <f>'таланты+инициативы0,2672'!D407</f>
        <v>0.26719999999999999</v>
      </c>
    </row>
    <row r="311" spans="1:5" hidden="1" x14ac:dyDescent="0.25">
      <c r="A311" s="838"/>
      <c r="B311" s="770"/>
      <c r="C311" s="108">
        <f>'натур показатели патриотика'!C367</f>
        <v>0</v>
      </c>
      <c r="D311" s="67">
        <f>'натур показатели патриотика'!D367</f>
        <v>0</v>
      </c>
      <c r="E311" s="163">
        <f>'таланты+инициативы0,2672'!D408</f>
        <v>0.26719999999999999</v>
      </c>
    </row>
    <row r="312" spans="1:5" hidden="1" x14ac:dyDescent="0.25">
      <c r="A312" s="838"/>
      <c r="B312" s="770"/>
      <c r="C312" s="108">
        <f>'натур показатели патриотика'!C368</f>
        <v>0</v>
      </c>
      <c r="D312" s="67">
        <f>'натур показатели патриотика'!D368</f>
        <v>0</v>
      </c>
      <c r="E312" s="163">
        <f>'таланты+инициативы0,2672'!D409</f>
        <v>0.26719999999999999</v>
      </c>
    </row>
    <row r="313" spans="1:5" hidden="1" x14ac:dyDescent="0.25">
      <c r="A313" s="838"/>
      <c r="B313" s="770"/>
      <c r="C313" s="108">
        <f>'натур показатели патриотика'!C369</f>
        <v>0</v>
      </c>
      <c r="D313" s="67">
        <f>'натур показатели патриотика'!D369</f>
        <v>0</v>
      </c>
      <c r="E313" s="163">
        <f>'таланты+инициативы0,2672'!D410</f>
        <v>0.26719999999999999</v>
      </c>
    </row>
    <row r="314" spans="1:5" hidden="1" x14ac:dyDescent="0.25">
      <c r="A314" s="838"/>
      <c r="B314" s="770"/>
      <c r="C314" s="108">
        <f>'натур показатели патриотика'!C370</f>
        <v>0</v>
      </c>
      <c r="D314" s="67">
        <f>'натур показатели патриотика'!D370</f>
        <v>0</v>
      </c>
      <c r="E314" s="163">
        <f>'таланты+инициативы0,2672'!D411</f>
        <v>0.26719999999999999</v>
      </c>
    </row>
    <row r="315" spans="1:5" hidden="1" x14ac:dyDescent="0.25">
      <c r="A315" s="838"/>
      <c r="B315" s="770"/>
      <c r="C315" s="108">
        <f>'натур показатели патриотика'!C371</f>
        <v>0</v>
      </c>
      <c r="D315" s="67">
        <f>'натур показатели патриотика'!D371</f>
        <v>0</v>
      </c>
      <c r="E315" s="163">
        <f>'таланты+инициативы0,2672'!D412</f>
        <v>0.26719999999999999</v>
      </c>
    </row>
    <row r="316" spans="1:5" hidden="1" x14ac:dyDescent="0.25">
      <c r="A316" s="838"/>
      <c r="B316" s="770"/>
      <c r="C316" s="108">
        <f>'натур показатели патриотика'!C372</f>
        <v>0</v>
      </c>
      <c r="D316" s="67">
        <f>'натур показатели патриотика'!D372</f>
        <v>0</v>
      </c>
      <c r="E316" s="163">
        <f>'таланты+инициативы0,2672'!D413</f>
        <v>0.26719999999999999</v>
      </c>
    </row>
    <row r="317" spans="1:5" hidden="1" x14ac:dyDescent="0.25">
      <c r="A317" s="838"/>
      <c r="B317" s="770"/>
      <c r="C317" s="108">
        <f>'натур показатели патриотика'!C373</f>
        <v>0</v>
      </c>
      <c r="D317" s="67">
        <f>'натур показатели патриотика'!D373</f>
        <v>0</v>
      </c>
      <c r="E317" s="163">
        <f>'таланты+инициативы0,2672'!D414</f>
        <v>0.26719999999999999</v>
      </c>
    </row>
    <row r="318" spans="1:5" hidden="1" x14ac:dyDescent="0.25">
      <c r="A318" s="838"/>
      <c r="B318" s="770"/>
      <c r="C318" s="108">
        <f>'натур показатели патриотика'!C374</f>
        <v>0</v>
      </c>
      <c r="D318" s="67">
        <f>'натур показатели патриотика'!D374</f>
        <v>0</v>
      </c>
      <c r="E318" s="163">
        <f>'таланты+инициативы0,2672'!D415</f>
        <v>0.26719999999999999</v>
      </c>
    </row>
    <row r="319" spans="1:5" hidden="1" x14ac:dyDescent="0.25">
      <c r="A319" s="838"/>
      <c r="B319" s="770"/>
      <c r="C319" s="108">
        <f>'натур показатели патриотика'!C375</f>
        <v>0</v>
      </c>
      <c r="D319" s="67">
        <f>'натур показатели патриотика'!D375</f>
        <v>0</v>
      </c>
      <c r="E319" s="163">
        <f>'таланты+инициативы0,2672'!D416</f>
        <v>0.26719999999999999</v>
      </c>
    </row>
    <row r="320" spans="1:5" hidden="1" x14ac:dyDescent="0.25">
      <c r="A320" s="838"/>
      <c r="B320" s="770"/>
      <c r="C320" s="108">
        <f>'натур показатели патриотика'!C376</f>
        <v>0</v>
      </c>
      <c r="D320" s="67">
        <f>'натур показатели патриотика'!D376</f>
        <v>0</v>
      </c>
      <c r="E320" s="163">
        <f>'таланты+инициативы0,2672'!D417</f>
        <v>0.26719999999999999</v>
      </c>
    </row>
    <row r="321" spans="1:5" hidden="1" x14ac:dyDescent="0.25">
      <c r="A321" s="838"/>
      <c r="B321" s="770"/>
      <c r="C321" s="108">
        <f>'натур показатели патриотика'!C377</f>
        <v>0</v>
      </c>
      <c r="D321" s="67">
        <f>'натур показатели патриотика'!D377</f>
        <v>0</v>
      </c>
      <c r="E321" s="163">
        <f>'таланты+инициативы0,2672'!D418</f>
        <v>0.26719999999999999</v>
      </c>
    </row>
    <row r="322" spans="1:5" hidden="1" x14ac:dyDescent="0.25">
      <c r="A322" s="838"/>
      <c r="B322" s="770"/>
      <c r="C322" s="108">
        <f>'натур показатели патриотика'!C378</f>
        <v>0</v>
      </c>
      <c r="D322" s="67">
        <f>'натур показатели патриотика'!D378</f>
        <v>0</v>
      </c>
      <c r="E322" s="163">
        <f>'таланты+инициативы0,2672'!D419</f>
        <v>0.26719999999999999</v>
      </c>
    </row>
    <row r="323" spans="1:5" hidden="1" x14ac:dyDescent="0.25">
      <c r="A323" s="838"/>
      <c r="B323" s="770"/>
      <c r="C323" s="108">
        <f>'натур показатели патриотика'!C379</f>
        <v>0</v>
      </c>
      <c r="D323" s="67">
        <f>'натур показатели патриотика'!D379</f>
        <v>0</v>
      </c>
      <c r="E323" s="163">
        <f>'таланты+инициативы0,2672'!D420</f>
        <v>0.26719999999999999</v>
      </c>
    </row>
    <row r="324" spans="1:5" hidden="1" x14ac:dyDescent="0.25">
      <c r="A324" s="838"/>
      <c r="B324" s="770"/>
      <c r="C324" s="108">
        <f>'натур показатели патриотика'!C380</f>
        <v>0</v>
      </c>
      <c r="D324" s="67">
        <f>'натур показатели патриотика'!D380</f>
        <v>0</v>
      </c>
      <c r="E324" s="163">
        <f>'таланты+инициативы0,2672'!D421</f>
        <v>0.26719999999999999</v>
      </c>
    </row>
    <row r="325" spans="1:5" hidden="1" x14ac:dyDescent="0.25">
      <c r="A325" s="838"/>
      <c r="B325" s="770"/>
      <c r="C325" s="108">
        <f>'натур показатели патриотика'!C381</f>
        <v>0</v>
      </c>
      <c r="D325" s="67">
        <f>'натур показатели патриотика'!D381</f>
        <v>0</v>
      </c>
      <c r="E325" s="163">
        <f>'таланты+инициативы0,2672'!D422</f>
        <v>0.26719999999999999</v>
      </c>
    </row>
    <row r="326" spans="1:5" hidden="1" x14ac:dyDescent="0.25">
      <c r="A326" s="838"/>
      <c r="B326" s="770"/>
      <c r="C326" s="108">
        <f>'натур показатели патриотика'!C382</f>
        <v>0</v>
      </c>
      <c r="D326" s="256" t="s">
        <v>84</v>
      </c>
      <c r="E326" s="163">
        <f>'таланты+инициативы0,2672'!D423</f>
        <v>0.26719999999999999</v>
      </c>
    </row>
    <row r="327" spans="1:5" hidden="1" x14ac:dyDescent="0.25">
      <c r="A327" s="838"/>
      <c r="B327" s="770"/>
      <c r="C327" s="108">
        <f>'натур показатели патриотика'!C383</f>
        <v>0</v>
      </c>
      <c r="D327" s="256" t="s">
        <v>84</v>
      </c>
      <c r="E327" s="163">
        <f>'таланты+инициативы0,2672'!D424</f>
        <v>0.26719999999999999</v>
      </c>
    </row>
    <row r="328" spans="1:5" hidden="1" x14ac:dyDescent="0.25">
      <c r="A328" s="838"/>
      <c r="B328" s="770"/>
      <c r="C328" s="108">
        <f>'натур показатели патриотика'!C384</f>
        <v>0</v>
      </c>
      <c r="D328" s="256" t="s">
        <v>84</v>
      </c>
      <c r="E328" s="163">
        <f>'таланты+инициативы0,2672'!D425</f>
        <v>0.26719999999999999</v>
      </c>
    </row>
    <row r="329" spans="1:5" hidden="1" x14ac:dyDescent="0.25">
      <c r="A329" s="838"/>
      <c r="B329" s="770"/>
      <c r="C329" s="108">
        <f>'натур показатели патриотика'!C385</f>
        <v>0</v>
      </c>
      <c r="D329" s="256" t="s">
        <v>84</v>
      </c>
      <c r="E329" s="163">
        <f>'таланты+инициативы0,2672'!D426</f>
        <v>0.26719999999999999</v>
      </c>
    </row>
    <row r="330" spans="1:5" hidden="1" x14ac:dyDescent="0.25">
      <c r="A330" s="838"/>
      <c r="B330" s="770"/>
      <c r="C330" s="108">
        <f>'натур показатели патриотика'!C386</f>
        <v>0</v>
      </c>
      <c r="D330" s="256" t="s">
        <v>84</v>
      </c>
      <c r="E330" s="163">
        <f>'таланты+инициативы0,2672'!D427</f>
        <v>0.26719999999999999</v>
      </c>
    </row>
    <row r="331" spans="1:5" hidden="1" x14ac:dyDescent="0.25">
      <c r="A331" s="838"/>
      <c r="B331" s="770"/>
      <c r="C331" s="108">
        <f>'натур показатели патриотика'!C387</f>
        <v>0</v>
      </c>
      <c r="D331" s="256" t="s">
        <v>84</v>
      </c>
      <c r="E331" s="163">
        <f>'таланты+инициативы0,2672'!D428</f>
        <v>0.26719999999999999</v>
      </c>
    </row>
    <row r="332" spans="1:5" hidden="1" x14ac:dyDescent="0.25">
      <c r="A332" s="838"/>
      <c r="B332" s="770"/>
      <c r="C332" s="108">
        <f>'натур показатели патриотика'!C388</f>
        <v>0</v>
      </c>
      <c r="D332" s="256" t="s">
        <v>84</v>
      </c>
      <c r="E332" s="163">
        <f>'таланты+инициативы0,2672'!D429</f>
        <v>0.26719999999999999</v>
      </c>
    </row>
    <row r="333" spans="1:5" hidden="1" x14ac:dyDescent="0.25">
      <c r="A333" s="838"/>
      <c r="B333" s="770"/>
      <c r="C333" s="108">
        <f>'натур показатели патриотика'!C389</f>
        <v>0</v>
      </c>
      <c r="D333" s="256" t="s">
        <v>84</v>
      </c>
      <c r="E333" s="163">
        <f>'таланты+инициативы0,2672'!D430</f>
        <v>0.26719999999999999</v>
      </c>
    </row>
    <row r="334" spans="1:5" hidden="1" x14ac:dyDescent="0.25">
      <c r="A334" s="838"/>
      <c r="B334" s="770"/>
      <c r="C334" s="108">
        <f>'натур показатели патриотика'!C390</f>
        <v>0</v>
      </c>
      <c r="D334" s="256" t="s">
        <v>84</v>
      </c>
      <c r="E334" s="163">
        <f>'таланты+инициативы0,2672'!D431</f>
        <v>0.26719999999999999</v>
      </c>
    </row>
    <row r="335" spans="1:5" hidden="1" x14ac:dyDescent="0.25">
      <c r="A335" s="838"/>
      <c r="B335" s="770"/>
      <c r="C335" s="108">
        <f>'натур показатели патриотика'!C391</f>
        <v>0</v>
      </c>
      <c r="D335" s="256" t="s">
        <v>84</v>
      </c>
      <c r="E335" s="163">
        <f>'таланты+инициативы0,2672'!D432</f>
        <v>0.26719999999999999</v>
      </c>
    </row>
    <row r="336" spans="1:5" hidden="1" x14ac:dyDescent="0.25">
      <c r="A336" s="838"/>
      <c r="B336" s="770"/>
      <c r="C336" s="108">
        <f>'натур показатели патриотика'!C392</f>
        <v>0</v>
      </c>
      <c r="D336" s="256" t="s">
        <v>84</v>
      </c>
      <c r="E336" s="163">
        <f>'таланты+инициативы0,2672'!D433</f>
        <v>0.26719999999999999</v>
      </c>
    </row>
    <row r="337" spans="1:5" hidden="1" x14ac:dyDescent="0.25">
      <c r="A337" s="838"/>
      <c r="B337" s="770"/>
      <c r="C337" s="108">
        <f>'натур показатели патриотика'!C393</f>
        <v>0</v>
      </c>
      <c r="D337" s="256" t="s">
        <v>84</v>
      </c>
      <c r="E337" s="163">
        <f>'таланты+инициативы0,2672'!D434</f>
        <v>0.26719999999999999</v>
      </c>
    </row>
    <row r="338" spans="1:5" hidden="1" x14ac:dyDescent="0.25">
      <c r="A338" s="838"/>
      <c r="B338" s="770"/>
      <c r="C338" s="108">
        <f>'натур показатели патриотика'!C394</f>
        <v>0</v>
      </c>
      <c r="D338" s="256" t="s">
        <v>84</v>
      </c>
      <c r="E338" s="163">
        <f>'таланты+инициативы0,2672'!D435</f>
        <v>0.26719999999999999</v>
      </c>
    </row>
    <row r="339" spans="1:5" hidden="1" x14ac:dyDescent="0.25">
      <c r="A339" s="838"/>
      <c r="B339" s="770"/>
      <c r="C339" s="108">
        <f>'натур показатели патриотика'!C395</f>
        <v>0</v>
      </c>
      <c r="D339" s="256" t="s">
        <v>84</v>
      </c>
      <c r="E339" s="163">
        <f>'таланты+инициативы0,2672'!D436</f>
        <v>0.26719999999999999</v>
      </c>
    </row>
    <row r="340" spans="1:5" hidden="1" x14ac:dyDescent="0.25">
      <c r="A340" s="838"/>
      <c r="B340" s="770"/>
      <c r="C340" s="108">
        <f>'натур показатели патриотика'!C396</f>
        <v>0</v>
      </c>
      <c r="D340" s="256" t="s">
        <v>84</v>
      </c>
      <c r="E340" s="163">
        <f>'таланты+инициативы0,2672'!D437</f>
        <v>0.26719999999999999</v>
      </c>
    </row>
    <row r="341" spans="1:5" hidden="1" x14ac:dyDescent="0.25">
      <c r="A341" s="838"/>
      <c r="B341" s="770"/>
      <c r="C341" s="108">
        <f>'натур показатели патриотика'!C397</f>
        <v>0</v>
      </c>
      <c r="D341" s="256" t="s">
        <v>84</v>
      </c>
      <c r="E341" s="163">
        <f>'таланты+инициативы0,2672'!D438</f>
        <v>0.26719999999999999</v>
      </c>
    </row>
    <row r="342" spans="1:5" hidden="1" x14ac:dyDescent="0.25">
      <c r="A342" s="838"/>
      <c r="B342" s="770"/>
      <c r="C342" s="108">
        <f>'натур показатели патриотика'!C398</f>
        <v>0</v>
      </c>
      <c r="D342" s="256" t="s">
        <v>84</v>
      </c>
      <c r="E342" s="163">
        <f>'таланты+инициативы0,2672'!D439</f>
        <v>0.26719999999999999</v>
      </c>
    </row>
    <row r="343" spans="1:5" hidden="1" x14ac:dyDescent="0.25">
      <c r="A343" s="838"/>
      <c r="B343" s="770"/>
      <c r="C343" s="108">
        <f>'натур показатели патриотика'!C399</f>
        <v>0</v>
      </c>
      <c r="D343" s="256" t="s">
        <v>84</v>
      </c>
      <c r="E343" s="163">
        <f>'таланты+инициативы0,2672'!D440</f>
        <v>0.26719999999999999</v>
      </c>
    </row>
    <row r="344" spans="1:5" hidden="1" x14ac:dyDescent="0.25">
      <c r="A344" s="838"/>
      <c r="B344" s="770"/>
      <c r="C344" s="108">
        <f>'натур показатели патриотика'!C400</f>
        <v>0</v>
      </c>
      <c r="D344" s="256" t="s">
        <v>84</v>
      </c>
      <c r="E344" s="163">
        <f>'таланты+инициативы0,2672'!D441</f>
        <v>0.26719999999999999</v>
      </c>
    </row>
    <row r="345" spans="1:5" hidden="1" x14ac:dyDescent="0.25">
      <c r="A345" s="838"/>
      <c r="B345" s="770"/>
      <c r="C345" s="108">
        <f>'натур показатели патриотика'!C401</f>
        <v>0</v>
      </c>
      <c r="D345" s="256" t="s">
        <v>84</v>
      </c>
      <c r="E345" s="163">
        <f>'таланты+инициативы0,2672'!D442</f>
        <v>0.26719999999999999</v>
      </c>
    </row>
    <row r="346" spans="1:5" hidden="1" x14ac:dyDescent="0.25">
      <c r="A346" s="838"/>
      <c r="B346" s="770"/>
      <c r="C346" s="108">
        <f>'натур показатели патриотика'!C402</f>
        <v>0</v>
      </c>
      <c r="D346" s="256" t="s">
        <v>84</v>
      </c>
      <c r="E346" s="163">
        <f>'таланты+инициативы0,2672'!D443</f>
        <v>0.26719999999999999</v>
      </c>
    </row>
    <row r="347" spans="1:5" hidden="1" x14ac:dyDescent="0.25">
      <c r="A347" s="838"/>
      <c r="B347" s="770"/>
      <c r="C347" s="108">
        <f>'натур показатели патриотика'!C403</f>
        <v>0</v>
      </c>
      <c r="D347" s="256" t="s">
        <v>84</v>
      </c>
      <c r="E347" s="163">
        <f>'таланты+инициативы0,2672'!D444</f>
        <v>0.26719999999999999</v>
      </c>
    </row>
    <row r="348" spans="1:5" hidden="1" x14ac:dyDescent="0.25">
      <c r="A348" s="838"/>
      <c r="B348" s="770"/>
      <c r="C348" s="108">
        <f>'натур показатели патриотика'!C404</f>
        <v>0</v>
      </c>
      <c r="D348" s="256" t="s">
        <v>84</v>
      </c>
      <c r="E348" s="163">
        <f>'таланты+инициативы0,2672'!D445</f>
        <v>0.26719999999999999</v>
      </c>
    </row>
    <row r="349" spans="1:5" hidden="1" x14ac:dyDescent="0.25">
      <c r="A349" s="838"/>
      <c r="B349" s="770"/>
      <c r="C349" s="108">
        <f>'натур показатели патриотика'!C405</f>
        <v>0</v>
      </c>
      <c r="D349" s="256" t="s">
        <v>84</v>
      </c>
      <c r="E349" s="163">
        <f>'таланты+инициативы0,2672'!D446</f>
        <v>0.26719999999999999</v>
      </c>
    </row>
    <row r="350" spans="1:5" hidden="1" x14ac:dyDescent="0.25">
      <c r="A350" s="838"/>
      <c r="B350" s="770"/>
      <c r="C350" s="108">
        <f>'натур показатели патриотика'!C406</f>
        <v>0</v>
      </c>
      <c r="D350" s="256" t="s">
        <v>84</v>
      </c>
      <c r="E350" s="163">
        <f>'таланты+инициативы0,2672'!D447</f>
        <v>0.26719999999999999</v>
      </c>
    </row>
    <row r="351" spans="1:5" hidden="1" x14ac:dyDescent="0.25">
      <c r="A351" s="838"/>
      <c r="B351" s="770"/>
      <c r="C351" s="108">
        <f>'натур показатели патриотика'!C407</f>
        <v>0</v>
      </c>
      <c r="D351" s="256" t="s">
        <v>84</v>
      </c>
      <c r="E351" s="163">
        <f>'таланты+инициативы0,2672'!D448</f>
        <v>0.26719999999999999</v>
      </c>
    </row>
    <row r="352" spans="1:5" hidden="1" x14ac:dyDescent="0.25">
      <c r="A352" s="838"/>
      <c r="B352" s="770"/>
      <c r="C352" s="108">
        <f>'натур показатели патриотика'!C408</f>
        <v>0</v>
      </c>
      <c r="D352" s="256" t="s">
        <v>84</v>
      </c>
      <c r="E352" s="163">
        <f>'таланты+инициативы0,2672'!D449</f>
        <v>0.26719999999999999</v>
      </c>
    </row>
    <row r="353" spans="1:5" hidden="1" x14ac:dyDescent="0.25">
      <c r="A353" s="838"/>
      <c r="B353" s="770"/>
      <c r="C353" s="108">
        <f>'натур показатели патриотика'!C409</f>
        <v>0</v>
      </c>
      <c r="D353" s="256" t="s">
        <v>84</v>
      </c>
      <c r="E353" s="163">
        <f>'таланты+инициативы0,2672'!D450</f>
        <v>0.26719999999999999</v>
      </c>
    </row>
    <row r="354" spans="1:5" hidden="1" x14ac:dyDescent="0.25">
      <c r="A354" s="838"/>
      <c r="B354" s="770"/>
      <c r="C354" s="108">
        <f>'натур показатели патриотика'!C410</f>
        <v>0</v>
      </c>
      <c r="D354" s="256" t="s">
        <v>84</v>
      </c>
      <c r="E354" s="163">
        <f>'таланты+инициативы0,2672'!D451</f>
        <v>0.26719999999999999</v>
      </c>
    </row>
    <row r="355" spans="1:5" hidden="1" x14ac:dyDescent="0.25">
      <c r="A355" s="838"/>
      <c r="B355" s="770"/>
      <c r="C355" s="108">
        <f>'натур показатели патриотика'!C411</f>
        <v>0</v>
      </c>
      <c r="D355" s="256" t="s">
        <v>84</v>
      </c>
      <c r="E355" s="163">
        <f>'таланты+инициативы0,2672'!D452</f>
        <v>0.26719999999999999</v>
      </c>
    </row>
    <row r="356" spans="1:5" hidden="1" x14ac:dyDescent="0.25">
      <c r="A356" s="838"/>
      <c r="B356" s="770"/>
      <c r="C356" s="108">
        <f>'натур показатели патриотика'!C412</f>
        <v>0</v>
      </c>
      <c r="D356" s="256" t="s">
        <v>84</v>
      </c>
      <c r="E356" s="163">
        <f>'таланты+инициативы0,2672'!D453</f>
        <v>0.26719999999999999</v>
      </c>
    </row>
    <row r="357" spans="1:5" hidden="1" x14ac:dyDescent="0.25">
      <c r="A357" s="838"/>
      <c r="B357" s="770"/>
      <c r="C357" s="108">
        <f>'натур показатели патриотика'!C413</f>
        <v>0</v>
      </c>
      <c r="D357" s="256" t="s">
        <v>84</v>
      </c>
      <c r="E357" s="163">
        <f>'таланты+инициативы0,2672'!D454</f>
        <v>0.26719999999999999</v>
      </c>
    </row>
    <row r="358" spans="1:5" hidden="1" x14ac:dyDescent="0.25">
      <c r="A358" s="838"/>
      <c r="B358" s="770"/>
      <c r="C358" s="108">
        <f>'натур показатели патриотика'!C414</f>
        <v>0</v>
      </c>
      <c r="D358" s="256" t="s">
        <v>84</v>
      </c>
      <c r="E358" s="163">
        <f>'таланты+инициативы0,2672'!D455</f>
        <v>0.26719999999999999</v>
      </c>
    </row>
    <row r="359" spans="1:5" hidden="1" x14ac:dyDescent="0.25">
      <c r="A359" s="838"/>
      <c r="B359" s="770"/>
      <c r="C359" s="108">
        <f>'натур показатели патриотика'!C415</f>
        <v>0</v>
      </c>
      <c r="D359" s="256" t="s">
        <v>84</v>
      </c>
      <c r="E359" s="163">
        <f>'таланты+инициативы0,2672'!D456</f>
        <v>0.26719999999999999</v>
      </c>
    </row>
    <row r="360" spans="1:5" hidden="1" x14ac:dyDescent="0.25">
      <c r="A360" s="838"/>
      <c r="B360" s="770"/>
      <c r="C360" s="108">
        <f>'натур показатели патриотика'!C416</f>
        <v>0</v>
      </c>
      <c r="D360" s="256" t="s">
        <v>84</v>
      </c>
      <c r="E360" s="163">
        <f>'таланты+инициативы0,2672'!D457</f>
        <v>0.26719999999999999</v>
      </c>
    </row>
    <row r="361" spans="1:5" hidden="1" x14ac:dyDescent="0.25">
      <c r="A361" s="838"/>
      <c r="B361" s="770"/>
      <c r="C361" s="108">
        <f>'натур показатели патриотика'!C417</f>
        <v>0</v>
      </c>
      <c r="D361" s="256" t="s">
        <v>84</v>
      </c>
      <c r="E361" s="163">
        <f>'таланты+инициативы0,2672'!D458</f>
        <v>0.26719999999999999</v>
      </c>
    </row>
    <row r="362" spans="1:5" hidden="1" x14ac:dyDescent="0.25">
      <c r="A362" s="838"/>
      <c r="B362" s="770"/>
      <c r="C362" s="108">
        <f>'натур показатели патриотика'!C418</f>
        <v>0</v>
      </c>
      <c r="D362" s="256" t="s">
        <v>84</v>
      </c>
      <c r="E362" s="163">
        <f>'таланты+инициативы0,2672'!D459</f>
        <v>0.26719999999999999</v>
      </c>
    </row>
    <row r="363" spans="1:5" hidden="1" x14ac:dyDescent="0.25">
      <c r="A363" s="838"/>
      <c r="B363" s="770"/>
      <c r="C363" s="108">
        <f>'натур показатели патриотика'!C419</f>
        <v>0</v>
      </c>
      <c r="D363" s="256" t="s">
        <v>84</v>
      </c>
      <c r="E363" s="163">
        <f>'таланты+инициативы0,2672'!D460</f>
        <v>0.26719999999999999</v>
      </c>
    </row>
    <row r="364" spans="1:5" hidden="1" x14ac:dyDescent="0.25">
      <c r="A364" s="838"/>
      <c r="B364" s="770"/>
    </row>
    <row r="365" spans="1:5" x14ac:dyDescent="0.25">
      <c r="A365" s="838"/>
      <c r="B365" s="770"/>
    </row>
  </sheetData>
  <mergeCells count="18">
    <mergeCell ref="C101:E101"/>
    <mergeCell ref="C109:E109"/>
    <mergeCell ref="C114:E114"/>
    <mergeCell ref="C116:E116"/>
    <mergeCell ref="A7:A365"/>
    <mergeCell ref="B7:B365"/>
    <mergeCell ref="C11:E11"/>
    <mergeCell ref="C15:E15"/>
    <mergeCell ref="C63:E63"/>
    <mergeCell ref="C120:E120"/>
    <mergeCell ref="C122:E122"/>
    <mergeCell ref="C64:E64"/>
    <mergeCell ref="C71:E71"/>
    <mergeCell ref="D1:E1"/>
    <mergeCell ref="A3:E3"/>
    <mergeCell ref="A4:E4"/>
    <mergeCell ref="C7:E7"/>
    <mergeCell ref="C8:E8"/>
  </mergeCells>
  <pageMargins left="0.21" right="0.11" top="0.22" bottom="0.74803149606299213" header="0.31496062992125984" footer="0.31496062992125984"/>
  <pageSetup paperSize="9" scale="73" fitToHeight="4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L469"/>
  <sheetViews>
    <sheetView tabSelected="1" zoomScale="90" zoomScaleNormal="90" zoomScaleSheetLayoutView="85" zoomScalePageLayoutView="70" workbookViewId="0">
      <selection activeCell="A2" sqref="A2"/>
    </sheetView>
  </sheetViews>
  <sheetFormatPr defaultColWidth="8.875" defaultRowHeight="15" x14ac:dyDescent="0.25"/>
  <cols>
    <col min="1" max="1" width="63.625" style="45" customWidth="1"/>
    <col min="2" max="2" width="19.375" style="45" customWidth="1"/>
    <col min="3" max="3" width="2.75" style="45" hidden="1" customWidth="1"/>
    <col min="4" max="4" width="21.25" style="45" customWidth="1"/>
    <col min="5" max="5" width="20.25" style="45" customWidth="1"/>
    <col min="6" max="6" width="21.125" style="45" customWidth="1"/>
    <col min="7" max="7" width="22.25" style="180" customWidth="1"/>
    <col min="8" max="8" width="21.25" style="45" customWidth="1"/>
    <col min="9" max="9" width="18.625" style="45" customWidth="1"/>
    <col min="10" max="10" width="20.125" style="45" customWidth="1"/>
    <col min="11" max="11" width="12.375" style="45" bestFit="1" customWidth="1"/>
    <col min="12" max="12" width="14.875" style="45" customWidth="1"/>
    <col min="13" max="16384" width="8.875" style="45"/>
  </cols>
  <sheetData>
    <row r="1" spans="1:9" ht="16.5" x14ac:dyDescent="0.25">
      <c r="A1" s="866" t="str">
        <f>'патриотика0,3664'!A1</f>
        <v>Учреждение: Муниципальное бюджетное учреждение  «Молодежный центр » Северо- Енисейского района</v>
      </c>
      <c r="B1" s="866"/>
      <c r="C1" s="866"/>
      <c r="D1" s="866"/>
      <c r="E1" s="866"/>
      <c r="F1" s="866"/>
      <c r="G1" s="866"/>
      <c r="H1" s="866"/>
      <c r="I1" s="866"/>
    </row>
    <row r="2" spans="1:9" ht="16.5" x14ac:dyDescent="0.25">
      <c r="A2" s="358" t="s">
        <v>534</v>
      </c>
      <c r="B2" s="358"/>
      <c r="C2" s="358"/>
      <c r="D2" s="358"/>
      <c r="E2" s="358"/>
      <c r="F2" s="358"/>
      <c r="G2" s="358"/>
      <c r="H2" s="358"/>
      <c r="I2" s="358"/>
    </row>
    <row r="3" spans="1:9" ht="58.15" customHeight="1" x14ac:dyDescent="0.25">
      <c r="A3" s="84" t="s">
        <v>214</v>
      </c>
      <c r="B3" s="867" t="s">
        <v>125</v>
      </c>
      <c r="C3" s="867"/>
      <c r="D3" s="867"/>
      <c r="E3" s="867"/>
      <c r="F3" s="867"/>
      <c r="G3" s="867"/>
      <c r="H3" s="867"/>
      <c r="I3" s="867"/>
    </row>
    <row r="4" spans="1:9" ht="15.75" x14ac:dyDescent="0.25">
      <c r="A4" s="815" t="s">
        <v>294</v>
      </c>
      <c r="B4" s="815"/>
      <c r="C4" s="815"/>
      <c r="D4" s="815"/>
      <c r="E4" s="815"/>
      <c r="F4" s="7"/>
      <c r="G4" s="162"/>
      <c r="H4" s="7"/>
      <c r="I4" s="7"/>
    </row>
    <row r="5" spans="1:9" ht="15.75" x14ac:dyDescent="0.25">
      <c r="A5" s="816" t="s">
        <v>43</v>
      </c>
      <c r="B5" s="816"/>
      <c r="C5" s="816"/>
      <c r="D5" s="816"/>
      <c r="E5" s="816"/>
      <c r="F5" s="7"/>
      <c r="G5" s="162"/>
      <c r="H5" s="7"/>
      <c r="I5" s="7"/>
    </row>
    <row r="6" spans="1:9" ht="15.75" x14ac:dyDescent="0.25">
      <c r="A6" s="816" t="s">
        <v>199</v>
      </c>
      <c r="B6" s="816"/>
      <c r="C6" s="816"/>
      <c r="D6" s="816"/>
      <c r="E6" s="816"/>
      <c r="F6" s="7"/>
      <c r="G6" s="162"/>
      <c r="H6" s="7"/>
      <c r="I6" s="7"/>
    </row>
    <row r="7" spans="1:9" ht="15.75" x14ac:dyDescent="0.25">
      <c r="A7" s="669" t="s">
        <v>218</v>
      </c>
      <c r="B7" s="669"/>
      <c r="C7" s="669"/>
      <c r="D7" s="669"/>
      <c r="E7" s="669"/>
      <c r="F7" s="7"/>
      <c r="G7" s="162"/>
      <c r="H7" s="7"/>
      <c r="I7" s="7"/>
    </row>
    <row r="8" spans="1:9" ht="27.6" customHeight="1" x14ac:dyDescent="0.25">
      <c r="A8" s="99" t="s">
        <v>34</v>
      </c>
      <c r="B8" s="68" t="s">
        <v>9</v>
      </c>
      <c r="C8" s="69"/>
      <c r="D8" s="670" t="s">
        <v>10</v>
      </c>
      <c r="E8" s="671"/>
      <c r="F8" s="306" t="s">
        <v>9</v>
      </c>
      <c r="G8" s="162"/>
      <c r="H8" s="7"/>
      <c r="I8" s="7"/>
    </row>
    <row r="9" spans="1:9" ht="15.75" x14ac:dyDescent="0.25">
      <c r="A9" s="99"/>
      <c r="B9" s="353"/>
      <c r="C9" s="353"/>
      <c r="D9" s="672" t="str">
        <f>'инновации+добровольчество0,3664'!D10:E10</f>
        <v>Заведующий МЦ</v>
      </c>
      <c r="E9" s="673"/>
      <c r="F9" s="70">
        <v>1</v>
      </c>
      <c r="G9" s="162"/>
      <c r="H9" s="7"/>
      <c r="I9" s="7"/>
    </row>
    <row r="10" spans="1:9" ht="15.75" x14ac:dyDescent="0.25">
      <c r="A10" s="68" t="str">
        <f>'[1]2016'!$AE$19</f>
        <v>Специалист по работе с молодежью</v>
      </c>
      <c r="B10" s="353">
        <v>5.6</v>
      </c>
      <c r="C10" s="353"/>
      <c r="D10" s="674" t="str">
        <f>'[1]2016'!$AE$25</f>
        <v>Водитель</v>
      </c>
      <c r="E10" s="675"/>
      <c r="F10" s="353">
        <v>1</v>
      </c>
      <c r="G10" s="162"/>
      <c r="H10" s="7"/>
      <c r="I10" s="7"/>
    </row>
    <row r="11" spans="1:9" ht="15.75" x14ac:dyDescent="0.25">
      <c r="A11" s="68" t="s">
        <v>93</v>
      </c>
      <c r="B11" s="353">
        <v>1</v>
      </c>
      <c r="C11" s="353"/>
      <c r="D11" s="674" t="s">
        <v>87</v>
      </c>
      <c r="E11" s="675"/>
      <c r="F11" s="353">
        <v>0.5</v>
      </c>
      <c r="G11" s="162"/>
      <c r="H11" s="7"/>
      <c r="I11" s="7"/>
    </row>
    <row r="12" spans="1:9" ht="15.75" x14ac:dyDescent="0.25">
      <c r="A12" s="99"/>
      <c r="B12" s="353"/>
      <c r="C12" s="353"/>
      <c r="D12" s="674" t="str">
        <f>'[1]2016'!$AE$26</f>
        <v xml:space="preserve">Уборщик служебных помещений </v>
      </c>
      <c r="E12" s="675"/>
      <c r="F12" s="353">
        <v>1</v>
      </c>
      <c r="G12" s="162"/>
      <c r="H12" s="7"/>
      <c r="I12" s="7"/>
    </row>
    <row r="13" spans="1:9" ht="15.75" x14ac:dyDescent="0.25">
      <c r="A13" s="71" t="s">
        <v>57</v>
      </c>
      <c r="B13" s="72">
        <f>SUM(B9:B11)</f>
        <v>6.6</v>
      </c>
      <c r="C13" s="71"/>
      <c r="D13" s="676" t="s">
        <v>57</v>
      </c>
      <c r="E13" s="677"/>
      <c r="F13" s="72">
        <f>SUM(F9:F12)</f>
        <v>3.5</v>
      </c>
      <c r="G13" s="162"/>
      <c r="H13" s="7"/>
      <c r="I13" s="7"/>
    </row>
    <row r="14" spans="1:9" ht="36" customHeight="1" x14ac:dyDescent="0.25">
      <c r="A14" s="821" t="s">
        <v>217</v>
      </c>
      <c r="B14" s="821"/>
      <c r="C14" s="821"/>
      <c r="D14" s="821"/>
      <c r="E14" s="821"/>
      <c r="F14" s="821"/>
      <c r="G14" s="821"/>
      <c r="H14" s="821"/>
      <c r="I14" s="821"/>
    </row>
    <row r="15" spans="1:9" ht="15.75" x14ac:dyDescent="0.25">
      <c r="A15" s="824" t="s">
        <v>318</v>
      </c>
      <c r="B15" s="824"/>
      <c r="C15" s="824"/>
      <c r="D15" s="824"/>
      <c r="E15" s="824"/>
      <c r="F15" s="824"/>
      <c r="G15" s="162"/>
      <c r="H15" s="7"/>
      <c r="I15" s="7"/>
    </row>
    <row r="16" spans="1:9" ht="15.75" x14ac:dyDescent="0.25">
      <c r="A16" s="10" t="s">
        <v>329</v>
      </c>
      <c r="B16" s="10"/>
      <c r="C16" s="10"/>
      <c r="D16" s="10"/>
      <c r="E16" s="7"/>
      <c r="F16" s="7"/>
      <c r="G16" s="162"/>
      <c r="H16" s="7"/>
      <c r="I16" s="7"/>
    </row>
    <row r="17" spans="1:12" ht="30" customHeight="1" x14ac:dyDescent="0.25">
      <c r="A17" s="825" t="s">
        <v>45</v>
      </c>
      <c r="B17" s="825"/>
      <c r="C17" s="825"/>
      <c r="D17" s="825"/>
      <c r="E17" s="825"/>
      <c r="F17" s="825"/>
      <c r="G17" s="162"/>
      <c r="H17" s="7"/>
      <c r="I17" s="7"/>
    </row>
    <row r="18" spans="1:12" ht="15.75" x14ac:dyDescent="0.25">
      <c r="A18" s="823"/>
      <c r="B18" s="823"/>
      <c r="C18" s="351"/>
      <c r="D18" s="151">
        <v>0.26719999999999999</v>
      </c>
      <c r="E18" s="151"/>
      <c r="F18" s="7"/>
      <c r="G18" s="162"/>
      <c r="H18" s="7"/>
      <c r="I18" s="7"/>
    </row>
    <row r="19" spans="1:12" ht="31.5" x14ac:dyDescent="0.25">
      <c r="A19" s="795" t="s">
        <v>0</v>
      </c>
      <c r="B19" s="818" t="s">
        <v>1</v>
      </c>
      <c r="C19" s="343"/>
      <c r="D19" s="795" t="s">
        <v>2</v>
      </c>
      <c r="E19" s="796" t="s">
        <v>3</v>
      </c>
      <c r="F19" s="797"/>
      <c r="G19" s="868" t="s">
        <v>35</v>
      </c>
      <c r="H19" s="343" t="s">
        <v>5</v>
      </c>
      <c r="I19" s="795" t="s">
        <v>6</v>
      </c>
    </row>
    <row r="20" spans="1:12" ht="15.75" x14ac:dyDescent="0.25">
      <c r="A20" s="795"/>
      <c r="B20" s="869"/>
      <c r="C20" s="343"/>
      <c r="D20" s="795"/>
      <c r="E20" s="343" t="s">
        <v>330</v>
      </c>
      <c r="F20" s="818" t="s">
        <v>319</v>
      </c>
      <c r="G20" s="868"/>
      <c r="H20" s="324" t="s">
        <v>171</v>
      </c>
      <c r="I20" s="795"/>
    </row>
    <row r="21" spans="1:12" ht="15.75" x14ac:dyDescent="0.25">
      <c r="A21" s="795"/>
      <c r="B21" s="819"/>
      <c r="C21" s="343"/>
      <c r="D21" s="795"/>
      <c r="E21" s="343" t="s">
        <v>4</v>
      </c>
      <c r="F21" s="819"/>
      <c r="G21" s="868"/>
      <c r="H21" s="343" t="s">
        <v>332</v>
      </c>
      <c r="I21" s="795"/>
    </row>
    <row r="22" spans="1:12" ht="15.75" x14ac:dyDescent="0.25">
      <c r="A22" s="795">
        <v>1</v>
      </c>
      <c r="B22" s="818">
        <v>2</v>
      </c>
      <c r="C22" s="343"/>
      <c r="D22" s="795">
        <v>3</v>
      </c>
      <c r="E22" s="795" t="s">
        <v>331</v>
      </c>
      <c r="F22" s="795">
        <v>5</v>
      </c>
      <c r="G22" s="647" t="s">
        <v>7</v>
      </c>
      <c r="H22" s="324" t="s">
        <v>172</v>
      </c>
      <c r="I22" s="646" t="s">
        <v>173</v>
      </c>
    </row>
    <row r="23" spans="1:12" ht="15.75" x14ac:dyDescent="0.25">
      <c r="A23" s="795"/>
      <c r="B23" s="819"/>
      <c r="C23" s="343"/>
      <c r="D23" s="795"/>
      <c r="E23" s="795"/>
      <c r="F23" s="795"/>
      <c r="G23" s="647"/>
      <c r="H23" s="54">
        <v>1774.4</v>
      </c>
      <c r="I23" s="646"/>
      <c r="J23" s="175">
        <f>I26+I127</f>
        <v>2291895.9051624965</v>
      </c>
      <c r="K23" s="176"/>
      <c r="L23" s="7"/>
    </row>
    <row r="24" spans="1:12" ht="15.75" x14ac:dyDescent="0.25">
      <c r="A24" s="73" t="str">
        <f>'патриотика0,3664'!A24</f>
        <v>Методист</v>
      </c>
      <c r="B24" s="85">
        <v>70163.8</v>
      </c>
      <c r="C24" s="85"/>
      <c r="D24" s="343">
        <f>1*D18</f>
        <v>0.26719999999999999</v>
      </c>
      <c r="E24" s="74">
        <f>D24*1774.4</f>
        <v>474.11968000000002</v>
      </c>
      <c r="F24" s="75">
        <v>1</v>
      </c>
      <c r="G24" s="77">
        <f>E24/F24</f>
        <v>474.11968000000002</v>
      </c>
      <c r="H24" s="74">
        <f>B24*1.302/1774.4*12</f>
        <v>617.80839224526608</v>
      </c>
      <c r="I24" s="74">
        <f>G24*H24+19238.54</f>
        <v>312153.65723264002</v>
      </c>
      <c r="J24" s="7">
        <v>2150436.0699999998</v>
      </c>
      <c r="K24" s="175" t="s">
        <v>105</v>
      </c>
      <c r="L24" s="7"/>
    </row>
    <row r="25" spans="1:12" ht="15.75" x14ac:dyDescent="0.25">
      <c r="A25" s="76" t="str">
        <f>A10</f>
        <v>Специалист по работе с молодежью</v>
      </c>
      <c r="B25" s="174">
        <v>50029.599999999999</v>
      </c>
      <c r="C25" s="174"/>
      <c r="D25" s="343">
        <f>D18*5.6</f>
        <v>1.4963199999999999</v>
      </c>
      <c r="E25" s="74">
        <f>D25*1774.4</f>
        <v>2655.0702080000001</v>
      </c>
      <c r="F25" s="75">
        <v>1</v>
      </c>
      <c r="G25" s="77">
        <f>E25/F25</f>
        <v>2655.0702080000001</v>
      </c>
      <c r="H25" s="74">
        <f>B25*1.302/1774.4*12</f>
        <v>440.52213165013529</v>
      </c>
      <c r="I25" s="74">
        <f>G25*H25-26312.2+75242</f>
        <v>1218546.9877089283</v>
      </c>
      <c r="J25" s="162">
        <f>J23-J24</f>
        <v>141459.83516249666</v>
      </c>
      <c r="K25" s="175" t="s">
        <v>117</v>
      </c>
      <c r="L25" s="7"/>
    </row>
    <row r="26" spans="1:12" ht="18.75" x14ac:dyDescent="0.3">
      <c r="A26" s="73" t="s">
        <v>92</v>
      </c>
      <c r="B26" s="77"/>
      <c r="C26" s="77"/>
      <c r="D26" s="343"/>
      <c r="E26" s="74"/>
      <c r="F26" s="75"/>
      <c r="G26" s="182"/>
      <c r="H26" s="155"/>
      <c r="I26" s="273">
        <f>SUM(I24:I25)</f>
        <v>1530700.6449415684</v>
      </c>
      <c r="L26" s="180"/>
    </row>
    <row r="27" spans="1:12" s="7" customFormat="1" ht="16.5" hidden="1" x14ac:dyDescent="0.25">
      <c r="A27" s="700" t="s">
        <v>166</v>
      </c>
      <c r="B27" s="700"/>
      <c r="C27" s="700"/>
      <c r="D27" s="700"/>
      <c r="E27" s="700"/>
      <c r="F27" s="700"/>
      <c r="G27" s="700"/>
      <c r="H27" s="700"/>
      <c r="I27" s="177"/>
      <c r="J27" s="175"/>
      <c r="K27" s="176"/>
    </row>
    <row r="28" spans="1:12" s="7" customFormat="1" ht="16.5" hidden="1" x14ac:dyDescent="0.25">
      <c r="A28" s="649" t="s">
        <v>60</v>
      </c>
      <c r="B28" s="679" t="s">
        <v>155</v>
      </c>
      <c r="C28" s="679"/>
      <c r="D28" s="679" t="s">
        <v>156</v>
      </c>
      <c r="E28" s="679"/>
      <c r="F28" s="679"/>
      <c r="G28" s="680"/>
      <c r="H28" s="680"/>
      <c r="I28" s="177"/>
      <c r="J28" s="175"/>
      <c r="K28" s="176"/>
    </row>
    <row r="29" spans="1:12" s="7" customFormat="1" ht="16.5" hidden="1" x14ac:dyDescent="0.25">
      <c r="A29" s="650"/>
      <c r="B29" s="679"/>
      <c r="C29" s="679"/>
      <c r="D29" s="679" t="s">
        <v>157</v>
      </c>
      <c r="E29" s="649" t="s">
        <v>158</v>
      </c>
      <c r="F29" s="681" t="s">
        <v>159</v>
      </c>
      <c r="G29" s="649" t="s">
        <v>165</v>
      </c>
      <c r="H29" s="649" t="s">
        <v>6</v>
      </c>
      <c r="I29" s="177"/>
      <c r="J29" s="175"/>
      <c r="K29" s="176"/>
    </row>
    <row r="30" spans="1:12" s="7" customFormat="1" ht="16.5" hidden="1" x14ac:dyDescent="0.25">
      <c r="A30" s="651"/>
      <c r="B30" s="679"/>
      <c r="C30" s="679"/>
      <c r="D30" s="679"/>
      <c r="E30" s="651"/>
      <c r="F30" s="681"/>
      <c r="G30" s="651"/>
      <c r="H30" s="651"/>
      <c r="I30" s="177"/>
      <c r="J30" s="175"/>
      <c r="K30" s="176"/>
    </row>
    <row r="31" spans="1:12" s="7" customFormat="1" ht="16.5" hidden="1" x14ac:dyDescent="0.25">
      <c r="A31" s="315">
        <v>1</v>
      </c>
      <c r="B31" s="663">
        <v>2</v>
      </c>
      <c r="C31" s="664"/>
      <c r="D31" s="315">
        <v>3</v>
      </c>
      <c r="E31" s="315">
        <v>4</v>
      </c>
      <c r="F31" s="315">
        <v>5</v>
      </c>
      <c r="G31" s="315">
        <v>6</v>
      </c>
      <c r="H31" s="315">
        <v>7</v>
      </c>
      <c r="I31" s="177"/>
      <c r="J31" s="175"/>
      <c r="K31" s="176"/>
    </row>
    <row r="32" spans="1:12" s="7" customFormat="1" ht="16.5" hidden="1" x14ac:dyDescent="0.25">
      <c r="A32" s="313" t="s">
        <v>93</v>
      </c>
      <c r="B32" s="313">
        <v>0.24</v>
      </c>
      <c r="C32" s="314">
        <v>1</v>
      </c>
      <c r="D32" s="145">
        <v>2074.6</v>
      </c>
      <c r="E32" s="109">
        <f t="shared" ref="E32:E33" si="0">D32*12</f>
        <v>24895.199999999997</v>
      </c>
      <c r="F32" s="145">
        <f>18363.9*0.24</f>
        <v>4407.3360000000002</v>
      </c>
      <c r="G32" s="178">
        <f>F32*30.2%</f>
        <v>1331.015472</v>
      </c>
      <c r="H32" s="178">
        <f>F32+G32</f>
        <v>5738.3514720000003</v>
      </c>
      <c r="I32" s="177"/>
    </row>
    <row r="33" spans="1:11" s="7" customFormat="1" ht="15.6" hidden="1" customHeight="1" x14ac:dyDescent="0.25">
      <c r="A33" s="313" t="s">
        <v>161</v>
      </c>
      <c r="B33" s="663">
        <f>5.6*0.24</f>
        <v>1.3439999999999999</v>
      </c>
      <c r="C33" s="664"/>
      <c r="D33" s="145">
        <f>1302.85*B33</f>
        <v>1751.0303999999996</v>
      </c>
      <c r="E33" s="109">
        <f t="shared" si="0"/>
        <v>21012.364799999996</v>
      </c>
      <c r="F33" s="145">
        <f>64311.87*0.24</f>
        <v>15434.8488</v>
      </c>
      <c r="G33" s="178">
        <f>F33*30.2%</f>
        <v>4661.3243376</v>
      </c>
      <c r="H33" s="178">
        <f>F33+G33</f>
        <v>20096.173137599999</v>
      </c>
    </row>
    <row r="34" spans="1:11" s="7" customFormat="1" ht="18.75" hidden="1" x14ac:dyDescent="0.25">
      <c r="A34" s="311"/>
      <c r="B34" s="839">
        <f>SUM(B32:C33)</f>
        <v>2.5839999999999996</v>
      </c>
      <c r="C34" s="840"/>
      <c r="D34" s="124">
        <f>SUM(D32:D33)</f>
        <v>3825.6303999999996</v>
      </c>
      <c r="E34" s="124">
        <f>SUM(E32:E33)</f>
        <v>45907.564799999993</v>
      </c>
      <c r="F34" s="124">
        <f>SUM(F32:F33)</f>
        <v>19842.184799999999</v>
      </c>
      <c r="G34" s="124">
        <f>SUM(G32:G33)</f>
        <v>5992.3398096000001</v>
      </c>
      <c r="H34" s="219"/>
      <c r="I34" s="162"/>
    </row>
    <row r="35" spans="1:11" ht="14.45" hidden="1" customHeight="1" x14ac:dyDescent="0.25">
      <c r="A35" s="700" t="s">
        <v>170</v>
      </c>
      <c r="B35" s="700"/>
      <c r="C35" s="700"/>
      <c r="D35" s="700"/>
      <c r="E35" s="700"/>
      <c r="F35" s="700"/>
      <c r="G35" s="700"/>
      <c r="H35" s="700"/>
      <c r="I35" s="146"/>
      <c r="J35" s="146"/>
    </row>
    <row r="36" spans="1:11" ht="28.9" hidden="1" customHeight="1" x14ac:dyDescent="0.25">
      <c r="A36" s="649" t="s">
        <v>60</v>
      </c>
      <c r="B36" s="679" t="s">
        <v>155</v>
      </c>
      <c r="C36" s="679"/>
      <c r="D36" s="658" t="s">
        <v>156</v>
      </c>
      <c r="E36" s="660"/>
      <c r="F36" s="316"/>
      <c r="G36" s="45"/>
    </row>
    <row r="37" spans="1:11" ht="14.45" hidden="1" customHeight="1" x14ac:dyDescent="0.25">
      <c r="A37" s="650"/>
      <c r="B37" s="679"/>
      <c r="C37" s="679"/>
      <c r="D37" s="679" t="s">
        <v>157</v>
      </c>
      <c r="E37" s="649" t="s">
        <v>165</v>
      </c>
      <c r="F37" s="649" t="s">
        <v>169</v>
      </c>
      <c r="G37" s="45"/>
    </row>
    <row r="38" spans="1:11" hidden="1" x14ac:dyDescent="0.25">
      <c r="A38" s="651"/>
      <c r="B38" s="679"/>
      <c r="C38" s="679"/>
      <c r="D38" s="679"/>
      <c r="E38" s="651"/>
      <c r="F38" s="651"/>
      <c r="G38" s="45"/>
    </row>
    <row r="39" spans="1:11" hidden="1" x14ac:dyDescent="0.25">
      <c r="A39" s="315">
        <v>1</v>
      </c>
      <c r="B39" s="663">
        <v>2</v>
      </c>
      <c r="C39" s="664"/>
      <c r="D39" s="315">
        <v>3</v>
      </c>
      <c r="E39" s="315">
        <v>6</v>
      </c>
      <c r="F39" s="315">
        <v>7</v>
      </c>
      <c r="G39" s="45"/>
    </row>
    <row r="40" spans="1:11" hidden="1" x14ac:dyDescent="0.25">
      <c r="A40" s="313" t="s">
        <v>161</v>
      </c>
      <c r="B40" s="663">
        <f>B33</f>
        <v>1.3439999999999999</v>
      </c>
      <c r="C40" s="664"/>
      <c r="D40" s="145">
        <v>4218.1400000000003</v>
      </c>
      <c r="E40" s="178">
        <f>D40*30.2%</f>
        <v>1273.8782800000001</v>
      </c>
      <c r="F40" s="178">
        <f>(E40+D40)*B40*12+8.27</f>
        <v>88583.540819839996</v>
      </c>
      <c r="G40" s="45"/>
    </row>
    <row r="41" spans="1:11" ht="18.75" hidden="1" x14ac:dyDescent="0.25">
      <c r="A41" s="311"/>
      <c r="B41" s="839">
        <f>SUM(B40:C40)</f>
        <v>1.3439999999999999</v>
      </c>
      <c r="C41" s="840"/>
      <c r="D41" s="124">
        <f>SUM(D40:D40)</f>
        <v>4218.1400000000003</v>
      </c>
      <c r="E41" s="124">
        <f>SUM(E40:E40)</f>
        <v>1273.8782800000001</v>
      </c>
      <c r="F41" s="219"/>
      <c r="G41" s="45"/>
    </row>
    <row r="42" spans="1:11" ht="15.75" hidden="1" x14ac:dyDescent="0.25">
      <c r="A42" s="821" t="s">
        <v>59</v>
      </c>
      <c r="B42" s="821"/>
      <c r="C42" s="821"/>
      <c r="D42" s="821"/>
      <c r="E42" s="821"/>
      <c r="F42" s="821"/>
      <c r="G42" s="162"/>
      <c r="H42" s="7"/>
      <c r="I42" s="7"/>
    </row>
    <row r="43" spans="1:11" ht="15.75" hidden="1" x14ac:dyDescent="0.25">
      <c r="A43" s="352" t="s">
        <v>81</v>
      </c>
      <c r="B43" s="6" t="str">
        <f>'инновации+добровольчество0,3664'!B48</f>
        <v>19 командировок</v>
      </c>
      <c r="C43" s="6"/>
      <c r="D43" s="6"/>
      <c r="E43" s="7"/>
      <c r="F43" s="7"/>
      <c r="G43" s="162"/>
      <c r="H43" s="7"/>
      <c r="I43" s="7"/>
      <c r="K43" s="180"/>
    </row>
    <row r="44" spans="1:11" ht="15.75" hidden="1" x14ac:dyDescent="0.25">
      <c r="A44" s="7"/>
      <c r="B44" s="7"/>
      <c r="C44" s="7"/>
      <c r="D44" s="153">
        <f>D18</f>
        <v>0.26719999999999999</v>
      </c>
      <c r="E44" s="7"/>
      <c r="F44" s="7"/>
      <c r="G44" s="162"/>
      <c r="H44" s="7"/>
      <c r="I44" s="7"/>
    </row>
    <row r="45" spans="1:11" ht="15.75" hidden="1" x14ac:dyDescent="0.25">
      <c r="A45" s="795" t="s">
        <v>120</v>
      </c>
      <c r="B45" s="795"/>
      <c r="C45" s="343"/>
      <c r="D45" s="795" t="s">
        <v>11</v>
      </c>
      <c r="E45" s="818" t="s">
        <v>48</v>
      </c>
      <c r="F45" s="818" t="s">
        <v>15</v>
      </c>
      <c r="G45" s="841" t="s">
        <v>6</v>
      </c>
      <c r="H45" s="7"/>
      <c r="I45" s="7"/>
    </row>
    <row r="46" spans="1:11" ht="7.15" hidden="1" customHeight="1" x14ac:dyDescent="0.25">
      <c r="A46" s="795"/>
      <c r="B46" s="795"/>
      <c r="C46" s="343"/>
      <c r="D46" s="795"/>
      <c r="E46" s="819"/>
      <c r="F46" s="819"/>
      <c r="G46" s="842"/>
      <c r="H46" s="7"/>
      <c r="I46" s="7"/>
    </row>
    <row r="47" spans="1:11" ht="15.75" hidden="1" x14ac:dyDescent="0.25">
      <c r="A47" s="796">
        <v>1</v>
      </c>
      <c r="B47" s="797"/>
      <c r="C47" s="344"/>
      <c r="D47" s="343">
        <v>2</v>
      </c>
      <c r="E47" s="359">
        <v>3</v>
      </c>
      <c r="F47" s="343">
        <v>4</v>
      </c>
      <c r="G47" s="81" t="s">
        <v>68</v>
      </c>
      <c r="H47" s="7"/>
      <c r="I47" s="7"/>
    </row>
    <row r="48" spans="1:11" ht="15.75" hidden="1" x14ac:dyDescent="0.25">
      <c r="A48" s="798" t="str">
        <f>'инновации+добровольчество0,3664'!A53</f>
        <v>Суточные</v>
      </c>
      <c r="B48" s="799"/>
      <c r="C48" s="346"/>
      <c r="D48" s="343" t="str">
        <f>'инновации+добровольчество0,3664'!D53</f>
        <v>сутки</v>
      </c>
      <c r="E48" s="356">
        <f>D44</f>
        <v>0.26719999999999999</v>
      </c>
      <c r="F48" s="356">
        <f>'инновации+добровольчество0,3664'!F53</f>
        <v>450</v>
      </c>
      <c r="G48" s="81">
        <f>E48*F48</f>
        <v>120.24</v>
      </c>
      <c r="H48" s="7"/>
      <c r="I48" s="7"/>
    </row>
    <row r="49" spans="1:12" ht="15.75" hidden="1" x14ac:dyDescent="0.25">
      <c r="A49" s="798" t="str">
        <f>'инновации+добровольчество0,3664'!A54</f>
        <v>Проезд</v>
      </c>
      <c r="B49" s="799"/>
      <c r="C49" s="346"/>
      <c r="D49" s="343" t="str">
        <f>'инновации+добровольчество0,3664'!D54</f>
        <v xml:space="preserve">Ед. </v>
      </c>
      <c r="E49" s="356">
        <f>D44</f>
        <v>0.26719999999999999</v>
      </c>
      <c r="F49" s="356">
        <f>'инновации+добровольчество0,3664'!F54</f>
        <v>8200</v>
      </c>
      <c r="G49" s="81">
        <f t="shared" ref="G49:G51" si="1">E49*F49</f>
        <v>2191.04</v>
      </c>
      <c r="H49" s="7"/>
      <c r="I49" s="7"/>
      <c r="L49" s="183"/>
    </row>
    <row r="50" spans="1:12" ht="15.75" hidden="1" x14ac:dyDescent="0.25">
      <c r="A50" s="798" t="str">
        <f>'инновации+добровольчество0,3664'!A55</f>
        <v xml:space="preserve">Проживание </v>
      </c>
      <c r="B50" s="799"/>
      <c r="C50" s="346"/>
      <c r="D50" s="343" t="str">
        <f>'инновации+добровольчество0,3664'!D55</f>
        <v>сутки</v>
      </c>
      <c r="E50" s="356">
        <f>D44</f>
        <v>0.26719999999999999</v>
      </c>
      <c r="F50" s="356">
        <f>'инновации+добровольчество0,3664'!F55</f>
        <v>1257.8399999999999</v>
      </c>
      <c r="G50" s="81">
        <f t="shared" si="1"/>
        <v>336.09484799999996</v>
      </c>
      <c r="H50" s="7"/>
      <c r="I50" s="7"/>
      <c r="L50" s="183"/>
    </row>
    <row r="51" spans="1:12" ht="15.75" hidden="1" x14ac:dyDescent="0.25">
      <c r="A51" s="345" t="e">
        <f>'инновации+добровольчество0,3664'!#REF!</f>
        <v>#REF!</v>
      </c>
      <c r="B51" s="346"/>
      <c r="C51" s="346"/>
      <c r="D51" s="343" t="e">
        <f>'инновации+добровольчество0,3664'!#REF!</f>
        <v>#REF!</v>
      </c>
      <c r="E51" s="356">
        <f>D44</f>
        <v>0.26719999999999999</v>
      </c>
      <c r="F51" s="356" t="e">
        <f>'инновации+добровольчество0,3664'!#REF!</f>
        <v>#REF!</v>
      </c>
      <c r="G51" s="81" t="e">
        <f t="shared" si="1"/>
        <v>#REF!</v>
      </c>
      <c r="H51" s="7"/>
      <c r="I51" s="7"/>
      <c r="L51" s="183"/>
    </row>
    <row r="52" spans="1:12" ht="18.75" hidden="1" x14ac:dyDescent="0.25">
      <c r="A52" s="827" t="s">
        <v>58</v>
      </c>
      <c r="B52" s="828"/>
      <c r="C52" s="354"/>
      <c r="D52" s="79"/>
      <c r="E52" s="79"/>
      <c r="F52" s="79"/>
      <c r="G52" s="271" t="e">
        <f>SUM(G48:G51)</f>
        <v>#REF!</v>
      </c>
      <c r="H52" s="7"/>
      <c r="I52" s="7"/>
      <c r="L52" s="180"/>
    </row>
    <row r="53" spans="1:12" ht="15.75" x14ac:dyDescent="0.25">
      <c r="A53" s="821" t="s">
        <v>124</v>
      </c>
      <c r="B53" s="821"/>
      <c r="C53" s="821"/>
      <c r="D53" s="821"/>
      <c r="E53" s="821"/>
      <c r="F53" s="821"/>
      <c r="G53" s="162"/>
      <c r="H53" s="7"/>
      <c r="I53" s="7"/>
    </row>
    <row r="54" spans="1:12" ht="15.75" x14ac:dyDescent="0.25">
      <c r="A54" s="7"/>
      <c r="B54" s="7"/>
      <c r="C54" s="7"/>
      <c r="D54" s="153"/>
      <c r="E54" s="7"/>
      <c r="F54" s="154">
        <v>1</v>
      </c>
      <c r="G54" s="162"/>
      <c r="H54" s="7"/>
      <c r="I54" s="7"/>
    </row>
    <row r="55" spans="1:12" ht="15.75" x14ac:dyDescent="0.25">
      <c r="A55" s="518" t="s">
        <v>120</v>
      </c>
      <c r="B55" s="818" t="s">
        <v>373</v>
      </c>
      <c r="C55" s="795" t="s">
        <v>11</v>
      </c>
      <c r="D55" s="818" t="s">
        <v>48</v>
      </c>
      <c r="E55" s="818" t="s">
        <v>15</v>
      </c>
      <c r="F55" s="841" t="s">
        <v>6</v>
      </c>
      <c r="G55" s="7"/>
      <c r="H55" s="7"/>
    </row>
    <row r="56" spans="1:12" ht="13.9" customHeight="1" x14ac:dyDescent="0.25">
      <c r="A56" s="518"/>
      <c r="B56" s="819"/>
      <c r="C56" s="795"/>
      <c r="D56" s="819"/>
      <c r="E56" s="819"/>
      <c r="F56" s="842"/>
      <c r="G56" s="7"/>
      <c r="H56" s="7"/>
    </row>
    <row r="57" spans="1:12" ht="15.75" x14ac:dyDescent="0.25">
      <c r="A57" s="519">
        <v>1</v>
      </c>
      <c r="B57" s="344"/>
      <c r="C57" s="343">
        <v>2</v>
      </c>
      <c r="D57" s="343">
        <v>3</v>
      </c>
      <c r="E57" s="343">
        <v>4</v>
      </c>
      <c r="F57" s="81" t="s">
        <v>68</v>
      </c>
      <c r="G57" s="7"/>
      <c r="H57" s="7"/>
    </row>
    <row r="58" spans="1:12" ht="37.5" x14ac:dyDescent="0.25">
      <c r="A58" s="505" t="s">
        <v>341</v>
      </c>
      <c r="B58" s="496"/>
      <c r="C58" s="496"/>
      <c r="D58" s="508"/>
      <c r="E58" s="508"/>
      <c r="F58" s="86"/>
      <c r="G58" s="7"/>
      <c r="H58" s="7"/>
    </row>
    <row r="59" spans="1:12" ht="18.75" x14ac:dyDescent="0.25">
      <c r="A59" s="506" t="s">
        <v>342</v>
      </c>
      <c r="B59" s="496" t="s">
        <v>84</v>
      </c>
      <c r="C59" s="496"/>
      <c r="D59" s="512">
        <v>1</v>
      </c>
      <c r="E59" s="513">
        <v>7200</v>
      </c>
      <c r="F59" s="86">
        <f>D59*E59</f>
        <v>7200</v>
      </c>
      <c r="G59" s="7"/>
      <c r="H59" s="7"/>
    </row>
    <row r="60" spans="1:12" ht="18.75" x14ac:dyDescent="0.25">
      <c r="A60" s="507" t="s">
        <v>221</v>
      </c>
      <c r="B60" s="496" t="s">
        <v>123</v>
      </c>
      <c r="C60" s="496"/>
      <c r="D60" s="512">
        <v>3</v>
      </c>
      <c r="E60" s="513">
        <v>300</v>
      </c>
      <c r="F60" s="86">
        <f t="shared" ref="F60:F104" si="2">D60*E60</f>
        <v>900</v>
      </c>
      <c r="G60" s="7"/>
      <c r="H60" s="7"/>
    </row>
    <row r="61" spans="1:12" ht="37.5" x14ac:dyDescent="0.25">
      <c r="A61" s="505" t="s">
        <v>220</v>
      </c>
      <c r="B61" s="496"/>
      <c r="C61" s="496"/>
      <c r="D61" s="508"/>
      <c r="E61" s="508"/>
      <c r="F61" s="86">
        <f t="shared" si="2"/>
        <v>0</v>
      </c>
      <c r="G61" s="7"/>
      <c r="H61" s="7"/>
    </row>
    <row r="62" spans="1:12" ht="18.75" x14ac:dyDescent="0.25">
      <c r="A62" s="506" t="s">
        <v>320</v>
      </c>
      <c r="B62" s="496" t="s">
        <v>84</v>
      </c>
      <c r="C62" s="496"/>
      <c r="D62" s="512">
        <v>19</v>
      </c>
      <c r="E62" s="513">
        <v>7500</v>
      </c>
      <c r="F62" s="86">
        <f>D62*E62-422</f>
        <v>142078</v>
      </c>
      <c r="G62" s="7"/>
      <c r="H62" s="7"/>
    </row>
    <row r="63" spans="1:12" ht="18.75" x14ac:dyDescent="0.25">
      <c r="A63" s="507" t="s">
        <v>221</v>
      </c>
      <c r="B63" s="496" t="s">
        <v>123</v>
      </c>
      <c r="C63" s="496"/>
      <c r="D63" s="512">
        <v>38</v>
      </c>
      <c r="E63" s="513">
        <v>350</v>
      </c>
      <c r="F63" s="86">
        <f t="shared" si="2"/>
        <v>13300</v>
      </c>
      <c r="G63" s="7"/>
      <c r="H63" s="7"/>
    </row>
    <row r="64" spans="1:12" ht="18.75" x14ac:dyDescent="0.25">
      <c r="A64" s="508" t="s">
        <v>222</v>
      </c>
      <c r="B64" s="496" t="s">
        <v>123</v>
      </c>
      <c r="C64" s="496"/>
      <c r="D64" s="512">
        <v>20</v>
      </c>
      <c r="E64" s="513">
        <v>500</v>
      </c>
      <c r="F64" s="86">
        <f t="shared" si="2"/>
        <v>10000</v>
      </c>
      <c r="G64" s="7"/>
      <c r="H64" s="7"/>
    </row>
    <row r="65" spans="1:8" ht="37.5" x14ac:dyDescent="0.25">
      <c r="A65" s="509" t="s">
        <v>223</v>
      </c>
      <c r="B65" s="496"/>
      <c r="C65" s="496"/>
      <c r="D65" s="512"/>
      <c r="E65" s="513"/>
      <c r="F65" s="86">
        <f t="shared" si="2"/>
        <v>0</v>
      </c>
      <c r="G65" s="7"/>
      <c r="H65" s="7"/>
    </row>
    <row r="66" spans="1:8" ht="18.75" x14ac:dyDescent="0.25">
      <c r="A66" s="506" t="s">
        <v>321</v>
      </c>
      <c r="B66" s="496" t="s">
        <v>84</v>
      </c>
      <c r="C66" s="496"/>
      <c r="D66" s="512">
        <v>10</v>
      </c>
      <c r="E66" s="513">
        <v>7095</v>
      </c>
      <c r="F66" s="86">
        <f t="shared" si="2"/>
        <v>70950</v>
      </c>
      <c r="G66" s="7"/>
      <c r="H66" s="7"/>
    </row>
    <row r="67" spans="1:8" ht="18.75" x14ac:dyDescent="0.25">
      <c r="A67" s="506" t="s">
        <v>188</v>
      </c>
      <c r="B67" s="496" t="s">
        <v>123</v>
      </c>
      <c r="C67" s="496"/>
      <c r="D67" s="512">
        <v>20</v>
      </c>
      <c r="E67" s="513">
        <v>355</v>
      </c>
      <c r="F67" s="86">
        <f t="shared" si="2"/>
        <v>7100</v>
      </c>
      <c r="G67" s="7"/>
      <c r="H67" s="7"/>
    </row>
    <row r="68" spans="1:8" ht="18.75" x14ac:dyDescent="0.25">
      <c r="A68" s="506" t="s">
        <v>224</v>
      </c>
      <c r="B68" s="496" t="s">
        <v>123</v>
      </c>
      <c r="C68" s="496"/>
      <c r="D68" s="512">
        <v>10</v>
      </c>
      <c r="E68" s="513">
        <v>500</v>
      </c>
      <c r="F68" s="86">
        <f t="shared" si="2"/>
        <v>5000</v>
      </c>
      <c r="G68" s="7"/>
      <c r="H68" s="7"/>
    </row>
    <row r="69" spans="1:8" ht="56.25" x14ac:dyDescent="0.25">
      <c r="A69" s="510" t="s">
        <v>225</v>
      </c>
      <c r="B69" s="496"/>
      <c r="C69" s="496"/>
      <c r="D69" s="512"/>
      <c r="E69" s="513"/>
      <c r="F69" s="86">
        <f t="shared" si="2"/>
        <v>0</v>
      </c>
      <c r="G69" s="7"/>
      <c r="H69" s="7"/>
    </row>
    <row r="70" spans="1:8" ht="18.75" x14ac:dyDescent="0.25">
      <c r="A70" s="506" t="s">
        <v>322</v>
      </c>
      <c r="B70" s="496" t="s">
        <v>84</v>
      </c>
      <c r="C70" s="496"/>
      <c r="D70" s="512">
        <v>8</v>
      </c>
      <c r="E70" s="513">
        <v>7500</v>
      </c>
      <c r="F70" s="86">
        <f t="shared" si="2"/>
        <v>60000</v>
      </c>
      <c r="G70" s="7"/>
      <c r="H70" s="7"/>
    </row>
    <row r="71" spans="1:8" ht="18.75" x14ac:dyDescent="0.25">
      <c r="A71" s="506" t="s">
        <v>188</v>
      </c>
      <c r="B71" s="496" t="s">
        <v>123</v>
      </c>
      <c r="C71" s="496"/>
      <c r="D71" s="512">
        <v>16</v>
      </c>
      <c r="E71" s="513">
        <v>350</v>
      </c>
      <c r="F71" s="86">
        <f t="shared" si="2"/>
        <v>5600</v>
      </c>
      <c r="G71" s="7"/>
      <c r="H71" s="7"/>
    </row>
    <row r="72" spans="1:8" ht="18.75" x14ac:dyDescent="0.25">
      <c r="A72" s="506" t="s">
        <v>224</v>
      </c>
      <c r="B72" s="496" t="s">
        <v>123</v>
      </c>
      <c r="C72" s="496"/>
      <c r="D72" s="512">
        <v>8</v>
      </c>
      <c r="E72" s="513">
        <v>500</v>
      </c>
      <c r="F72" s="86">
        <f t="shared" si="2"/>
        <v>4000</v>
      </c>
      <c r="G72" s="7"/>
      <c r="H72" s="7"/>
    </row>
    <row r="73" spans="1:8" ht="37.5" x14ac:dyDescent="0.25">
      <c r="A73" s="510" t="s">
        <v>343</v>
      </c>
      <c r="B73" s="496"/>
      <c r="C73" s="496"/>
      <c r="D73" s="512"/>
      <c r="E73" s="513"/>
      <c r="F73" s="86">
        <f t="shared" si="2"/>
        <v>0</v>
      </c>
      <c r="G73" s="7"/>
      <c r="H73" s="7"/>
    </row>
    <row r="74" spans="1:8" ht="18.75" x14ac:dyDescent="0.25">
      <c r="A74" s="506" t="s">
        <v>344</v>
      </c>
      <c r="B74" s="496" t="s">
        <v>123</v>
      </c>
      <c r="C74" s="496"/>
      <c r="D74" s="512">
        <v>3</v>
      </c>
      <c r="E74" s="513">
        <v>3000</v>
      </c>
      <c r="F74" s="86">
        <f t="shared" si="2"/>
        <v>9000</v>
      </c>
      <c r="G74" s="7"/>
      <c r="H74" s="7"/>
    </row>
    <row r="75" spans="1:8" ht="18.75" x14ac:dyDescent="0.25">
      <c r="A75" s="506" t="s">
        <v>345</v>
      </c>
      <c r="B75" s="496" t="s">
        <v>84</v>
      </c>
      <c r="C75" s="496"/>
      <c r="D75" s="512">
        <v>3</v>
      </c>
      <c r="E75" s="513">
        <v>8200</v>
      </c>
      <c r="F75" s="86">
        <f t="shared" si="2"/>
        <v>24600</v>
      </c>
      <c r="G75" s="7"/>
      <c r="H75" s="7"/>
    </row>
    <row r="76" spans="1:8" ht="18.75" x14ac:dyDescent="0.25">
      <c r="A76" s="506" t="s">
        <v>346</v>
      </c>
      <c r="B76" s="496" t="s">
        <v>123</v>
      </c>
      <c r="C76" s="496"/>
      <c r="D76" s="512">
        <v>3</v>
      </c>
      <c r="E76" s="513">
        <v>900</v>
      </c>
      <c r="F76" s="86">
        <f t="shared" si="2"/>
        <v>2700</v>
      </c>
      <c r="G76" s="7"/>
      <c r="H76" s="7"/>
    </row>
    <row r="77" spans="1:8" ht="18.75" x14ac:dyDescent="0.25">
      <c r="A77" s="506" t="s">
        <v>347</v>
      </c>
      <c r="B77" s="496" t="s">
        <v>84</v>
      </c>
      <c r="C77" s="496"/>
      <c r="D77" s="512">
        <v>10</v>
      </c>
      <c r="E77" s="513">
        <v>250</v>
      </c>
      <c r="F77" s="86">
        <f t="shared" si="2"/>
        <v>2500</v>
      </c>
      <c r="G77" s="7"/>
      <c r="H77" s="7"/>
    </row>
    <row r="78" spans="1:8" ht="18.75" x14ac:dyDescent="0.25">
      <c r="A78" s="506" t="s">
        <v>348</v>
      </c>
      <c r="B78" s="496" t="s">
        <v>84</v>
      </c>
      <c r="C78" s="496"/>
      <c r="D78" s="512">
        <v>5</v>
      </c>
      <c r="E78" s="513">
        <v>650</v>
      </c>
      <c r="F78" s="86">
        <f t="shared" si="2"/>
        <v>3250</v>
      </c>
      <c r="G78" s="7"/>
      <c r="H78" s="7"/>
    </row>
    <row r="79" spans="1:8" ht="18.75" x14ac:dyDescent="0.25">
      <c r="A79" s="506" t="s">
        <v>349</v>
      </c>
      <c r="B79" s="496" t="s">
        <v>84</v>
      </c>
      <c r="C79" s="496"/>
      <c r="D79" s="512">
        <v>50</v>
      </c>
      <c r="E79" s="513">
        <v>230</v>
      </c>
      <c r="F79" s="86">
        <f t="shared" si="2"/>
        <v>11500</v>
      </c>
      <c r="G79" s="7"/>
      <c r="H79" s="7"/>
    </row>
    <row r="80" spans="1:8" ht="18.75" x14ac:dyDescent="0.25">
      <c r="A80" s="506" t="s">
        <v>350</v>
      </c>
      <c r="B80" s="496" t="s">
        <v>84</v>
      </c>
      <c r="C80" s="496"/>
      <c r="D80" s="512">
        <v>14</v>
      </c>
      <c r="E80" s="513">
        <v>1520</v>
      </c>
      <c r="F80" s="86">
        <f t="shared" si="2"/>
        <v>21280</v>
      </c>
      <c r="G80" s="7"/>
      <c r="H80" s="7"/>
    </row>
    <row r="81" spans="1:8" ht="18.75" x14ac:dyDescent="0.25">
      <c r="A81" s="511" t="s">
        <v>226</v>
      </c>
      <c r="B81" s="496"/>
      <c r="C81" s="496"/>
      <c r="D81" s="512">
        <v>0</v>
      </c>
      <c r="E81" s="513">
        <v>0</v>
      </c>
      <c r="F81" s="86">
        <f t="shared" si="2"/>
        <v>0</v>
      </c>
      <c r="G81" s="7"/>
      <c r="H81" s="7"/>
    </row>
    <row r="82" spans="1:8" ht="18.75" x14ac:dyDescent="0.25">
      <c r="A82" s="503" t="s">
        <v>351</v>
      </c>
      <c r="B82" s="496" t="s">
        <v>84</v>
      </c>
      <c r="C82" s="496"/>
      <c r="D82" s="512">
        <v>1</v>
      </c>
      <c r="E82" s="513">
        <v>4410</v>
      </c>
      <c r="F82" s="86">
        <f t="shared" si="2"/>
        <v>4410</v>
      </c>
      <c r="G82" s="7"/>
      <c r="H82" s="7"/>
    </row>
    <row r="83" spans="1:8" ht="18.75" x14ac:dyDescent="0.25">
      <c r="A83" s="511" t="s">
        <v>352</v>
      </c>
      <c r="B83" s="496"/>
      <c r="C83" s="496"/>
      <c r="D83" s="514"/>
      <c r="E83" s="515"/>
      <c r="F83" s="86">
        <f t="shared" si="2"/>
        <v>0</v>
      </c>
      <c r="G83" s="7"/>
      <c r="H83" s="7"/>
    </row>
    <row r="84" spans="1:8" ht="37.5" x14ac:dyDescent="0.25">
      <c r="A84" s="503" t="s">
        <v>353</v>
      </c>
      <c r="B84" s="496" t="s">
        <v>84</v>
      </c>
      <c r="C84" s="496"/>
      <c r="D84" s="512">
        <v>3</v>
      </c>
      <c r="E84" s="513">
        <v>869</v>
      </c>
      <c r="F84" s="86">
        <f t="shared" si="2"/>
        <v>2607</v>
      </c>
      <c r="G84" s="7"/>
      <c r="H84" s="7"/>
    </row>
    <row r="85" spans="1:8" ht="18.75" x14ac:dyDescent="0.25">
      <c r="A85" s="511" t="s">
        <v>354</v>
      </c>
      <c r="B85" s="496"/>
      <c r="C85" s="496"/>
      <c r="D85" s="514"/>
      <c r="E85" s="515"/>
      <c r="F85" s="86">
        <f t="shared" si="2"/>
        <v>0</v>
      </c>
      <c r="G85" s="7"/>
      <c r="H85" s="7"/>
    </row>
    <row r="86" spans="1:8" ht="18.75" x14ac:dyDescent="0.25">
      <c r="A86" s="516" t="s">
        <v>355</v>
      </c>
      <c r="B86" s="496" t="s">
        <v>84</v>
      </c>
      <c r="C86" s="496"/>
      <c r="D86" s="512">
        <v>5</v>
      </c>
      <c r="E86" s="513">
        <v>156</v>
      </c>
      <c r="F86" s="86">
        <f t="shared" si="2"/>
        <v>780</v>
      </c>
      <c r="G86" s="7"/>
      <c r="H86" s="7"/>
    </row>
    <row r="87" spans="1:8" ht="18.75" x14ac:dyDescent="0.25">
      <c r="A87" s="502" t="s">
        <v>356</v>
      </c>
      <c r="B87" s="496" t="s">
        <v>84</v>
      </c>
      <c r="C87" s="496"/>
      <c r="D87" s="512">
        <v>100</v>
      </c>
      <c r="E87" s="513">
        <v>28</v>
      </c>
      <c r="F87" s="86">
        <f t="shared" si="2"/>
        <v>2800</v>
      </c>
      <c r="G87" s="7"/>
      <c r="H87" s="7"/>
    </row>
    <row r="88" spans="1:8" ht="18.75" x14ac:dyDescent="0.25">
      <c r="A88" s="502" t="s">
        <v>357</v>
      </c>
      <c r="B88" s="496" t="s">
        <v>84</v>
      </c>
      <c r="C88" s="496"/>
      <c r="D88" s="512">
        <v>7</v>
      </c>
      <c r="E88" s="513">
        <v>377</v>
      </c>
      <c r="F88" s="86">
        <f t="shared" si="2"/>
        <v>2639</v>
      </c>
      <c r="G88" s="7"/>
      <c r="H88" s="7"/>
    </row>
    <row r="89" spans="1:8" ht="18.75" x14ac:dyDescent="0.25">
      <c r="A89" s="502" t="s">
        <v>358</v>
      </c>
      <c r="B89" s="496" t="s">
        <v>84</v>
      </c>
      <c r="C89" s="496"/>
      <c r="D89" s="512">
        <v>4</v>
      </c>
      <c r="E89" s="513">
        <v>860</v>
      </c>
      <c r="F89" s="86">
        <f t="shared" si="2"/>
        <v>3440</v>
      </c>
      <c r="G89" s="7"/>
      <c r="H89" s="7"/>
    </row>
    <row r="90" spans="1:8" ht="18.75" x14ac:dyDescent="0.25">
      <c r="A90" s="502" t="s">
        <v>359</v>
      </c>
      <c r="B90" s="496" t="s">
        <v>84</v>
      </c>
      <c r="C90" s="496"/>
      <c r="D90" s="512">
        <v>2</v>
      </c>
      <c r="E90" s="513">
        <v>694</v>
      </c>
      <c r="F90" s="86">
        <f t="shared" si="2"/>
        <v>1388</v>
      </c>
      <c r="G90" s="7"/>
      <c r="H90" s="7"/>
    </row>
    <row r="91" spans="1:8" ht="18.75" x14ac:dyDescent="0.25">
      <c r="A91" s="502" t="s">
        <v>360</v>
      </c>
      <c r="B91" s="496" t="s">
        <v>84</v>
      </c>
      <c r="C91" s="496"/>
      <c r="D91" s="512">
        <v>7</v>
      </c>
      <c r="E91" s="513">
        <v>70</v>
      </c>
      <c r="F91" s="86">
        <f t="shared" si="2"/>
        <v>490</v>
      </c>
      <c r="G91" s="7"/>
      <c r="H91" s="7"/>
    </row>
    <row r="92" spans="1:8" ht="18.75" x14ac:dyDescent="0.25">
      <c r="A92" s="502" t="s">
        <v>361</v>
      </c>
      <c r="B92" s="496" t="s">
        <v>84</v>
      </c>
      <c r="C92" s="496"/>
      <c r="D92" s="512">
        <v>4</v>
      </c>
      <c r="E92" s="513">
        <v>47</v>
      </c>
      <c r="F92" s="86">
        <f t="shared" si="2"/>
        <v>188</v>
      </c>
      <c r="G92" s="7"/>
      <c r="H92" s="7"/>
    </row>
    <row r="93" spans="1:8" ht="18.75" x14ac:dyDescent="0.25">
      <c r="A93" s="502" t="s">
        <v>362</v>
      </c>
      <c r="B93" s="496" t="s">
        <v>84</v>
      </c>
      <c r="C93" s="496"/>
      <c r="D93" s="512">
        <v>6</v>
      </c>
      <c r="E93" s="513">
        <v>102</v>
      </c>
      <c r="F93" s="86">
        <f t="shared" si="2"/>
        <v>612</v>
      </c>
      <c r="G93" s="7"/>
      <c r="H93" s="7"/>
    </row>
    <row r="94" spans="1:8" ht="18.75" x14ac:dyDescent="0.25">
      <c r="A94" s="502" t="s">
        <v>363</v>
      </c>
      <c r="B94" s="496" t="s">
        <v>84</v>
      </c>
      <c r="C94" s="496"/>
      <c r="D94" s="512">
        <v>4</v>
      </c>
      <c r="E94" s="513">
        <v>100</v>
      </c>
      <c r="F94" s="86">
        <f t="shared" si="2"/>
        <v>400</v>
      </c>
      <c r="G94" s="7"/>
      <c r="H94" s="7"/>
    </row>
    <row r="95" spans="1:8" ht="18.75" x14ac:dyDescent="0.25">
      <c r="A95" s="502" t="s">
        <v>364</v>
      </c>
      <c r="B95" s="496" t="s">
        <v>84</v>
      </c>
      <c r="C95" s="496"/>
      <c r="D95" s="512">
        <v>2</v>
      </c>
      <c r="E95" s="513">
        <v>1419</v>
      </c>
      <c r="F95" s="86">
        <f t="shared" si="2"/>
        <v>2838</v>
      </c>
      <c r="G95" s="7"/>
      <c r="H95" s="7"/>
    </row>
    <row r="96" spans="1:8" ht="18.75" x14ac:dyDescent="0.25">
      <c r="A96" s="502" t="s">
        <v>365</v>
      </c>
      <c r="B96" s="496" t="s">
        <v>84</v>
      </c>
      <c r="C96" s="496"/>
      <c r="D96" s="512">
        <v>1</v>
      </c>
      <c r="E96" s="513">
        <v>41300</v>
      </c>
      <c r="F96" s="86">
        <f t="shared" si="2"/>
        <v>41300</v>
      </c>
      <c r="G96" s="7"/>
      <c r="H96" s="7"/>
    </row>
    <row r="97" spans="1:11" ht="18.75" x14ac:dyDescent="0.25">
      <c r="A97" s="502" t="s">
        <v>366</v>
      </c>
      <c r="B97" s="496" t="s">
        <v>84</v>
      </c>
      <c r="C97" s="496"/>
      <c r="D97" s="512">
        <v>200</v>
      </c>
      <c r="E97" s="513">
        <v>32.5</v>
      </c>
      <c r="F97" s="86">
        <f t="shared" si="2"/>
        <v>6500</v>
      </c>
      <c r="G97" s="7"/>
      <c r="H97" s="7"/>
    </row>
    <row r="98" spans="1:11" ht="18.75" x14ac:dyDescent="0.25">
      <c r="A98" s="502" t="s">
        <v>367</v>
      </c>
      <c r="B98" s="496" t="s">
        <v>84</v>
      </c>
      <c r="C98" s="496"/>
      <c r="D98" s="512">
        <v>3</v>
      </c>
      <c r="E98" s="513">
        <v>1600</v>
      </c>
      <c r="F98" s="86">
        <f t="shared" si="2"/>
        <v>4800</v>
      </c>
      <c r="G98" s="7"/>
      <c r="H98" s="7"/>
    </row>
    <row r="99" spans="1:11" ht="18.75" x14ac:dyDescent="0.25">
      <c r="A99" s="517" t="s">
        <v>368</v>
      </c>
      <c r="B99" s="496" t="s">
        <v>84</v>
      </c>
      <c r="C99" s="496"/>
      <c r="D99" s="512">
        <v>2</v>
      </c>
      <c r="E99" s="513">
        <v>1200</v>
      </c>
      <c r="F99" s="86">
        <f t="shared" si="2"/>
        <v>2400</v>
      </c>
      <c r="G99" s="7"/>
      <c r="H99" s="7"/>
    </row>
    <row r="100" spans="1:11" ht="18.75" x14ac:dyDescent="0.25">
      <c r="A100" s="502" t="s">
        <v>369</v>
      </c>
      <c r="B100" s="496" t="s">
        <v>84</v>
      </c>
      <c r="C100" s="496"/>
      <c r="D100" s="512">
        <v>30</v>
      </c>
      <c r="E100" s="513">
        <v>800</v>
      </c>
      <c r="F100" s="86">
        <f t="shared" si="2"/>
        <v>24000</v>
      </c>
      <c r="G100" s="7"/>
      <c r="H100" s="7"/>
    </row>
    <row r="101" spans="1:11" ht="18.75" x14ac:dyDescent="0.25">
      <c r="A101" s="502" t="s">
        <v>370</v>
      </c>
      <c r="B101" s="496" t="s">
        <v>84</v>
      </c>
      <c r="C101" s="496"/>
      <c r="D101" s="512">
        <v>30</v>
      </c>
      <c r="E101" s="513">
        <v>400</v>
      </c>
      <c r="F101" s="86">
        <f t="shared" si="2"/>
        <v>12000</v>
      </c>
      <c r="G101" s="7"/>
      <c r="H101" s="7"/>
    </row>
    <row r="102" spans="1:11" ht="18.75" x14ac:dyDescent="0.25">
      <c r="A102" s="502" t="s">
        <v>371</v>
      </c>
      <c r="B102" s="496" t="s">
        <v>84</v>
      </c>
      <c r="C102" s="496"/>
      <c r="D102" s="512">
        <v>25</v>
      </c>
      <c r="E102" s="513">
        <v>1450</v>
      </c>
      <c r="F102" s="86">
        <f t="shared" si="2"/>
        <v>36250</v>
      </c>
      <c r="G102" s="7"/>
      <c r="H102" s="7"/>
    </row>
    <row r="103" spans="1:11" ht="18.75" x14ac:dyDescent="0.25">
      <c r="A103" s="503" t="s">
        <v>227</v>
      </c>
      <c r="B103" s="496" t="s">
        <v>84</v>
      </c>
      <c r="C103" s="496"/>
      <c r="D103" s="512">
        <v>0</v>
      </c>
      <c r="E103" s="513">
        <v>0</v>
      </c>
      <c r="F103" s="86">
        <f t="shared" si="2"/>
        <v>0</v>
      </c>
      <c r="G103" s="7"/>
      <c r="H103" s="7"/>
    </row>
    <row r="104" spans="1:11" ht="18.75" x14ac:dyDescent="0.25">
      <c r="A104" s="503" t="s">
        <v>372</v>
      </c>
      <c r="B104" s="496" t="s">
        <v>84</v>
      </c>
      <c r="C104" s="496"/>
      <c r="D104" s="512">
        <v>12</v>
      </c>
      <c r="E104" s="513">
        <v>1000</v>
      </c>
      <c r="F104" s="86">
        <f t="shared" si="2"/>
        <v>12000</v>
      </c>
      <c r="G104" s="7"/>
      <c r="H104" s="7"/>
    </row>
    <row r="105" spans="1:11" ht="14.45" customHeight="1" x14ac:dyDescent="0.25">
      <c r="A105" s="520" t="s">
        <v>80</v>
      </c>
      <c r="B105" s="357"/>
      <c r="C105" s="79"/>
      <c r="D105" s="79"/>
      <c r="E105" s="158"/>
      <c r="F105" s="271">
        <f>SUM(F59:F104)</f>
        <v>562800</v>
      </c>
      <c r="G105" s="7"/>
      <c r="H105" s="7"/>
    </row>
    <row r="106" spans="1:11" ht="36.75" hidden="1" customHeight="1" x14ac:dyDescent="0.25">
      <c r="A106" s="852" t="s">
        <v>243</v>
      </c>
      <c r="B106" s="852"/>
      <c r="C106" s="852"/>
      <c r="D106" s="852"/>
      <c r="E106" s="852"/>
      <c r="F106" s="852"/>
      <c r="G106" s="162"/>
      <c r="H106" s="7"/>
      <c r="I106" s="7"/>
    </row>
    <row r="107" spans="1:11" ht="15.75" hidden="1" x14ac:dyDescent="0.25">
      <c r="A107" s="11"/>
      <c r="B107" s="11"/>
      <c r="C107" s="11"/>
      <c r="D107" s="11"/>
      <c r="E107" s="11"/>
      <c r="F107" s="95">
        <f>D44</f>
        <v>0.26719999999999999</v>
      </c>
      <c r="G107" s="162"/>
      <c r="H107" s="7"/>
      <c r="I107" s="7"/>
    </row>
    <row r="108" spans="1:11" ht="15.75" hidden="1" customHeight="1" x14ac:dyDescent="0.25">
      <c r="A108" s="794" t="s">
        <v>0</v>
      </c>
      <c r="B108" s="794"/>
      <c r="C108" s="353"/>
      <c r="D108" s="794" t="s">
        <v>1</v>
      </c>
      <c r="E108" s="813" t="s">
        <v>2</v>
      </c>
      <c r="F108" s="813" t="s">
        <v>41</v>
      </c>
      <c r="G108" s="813" t="s">
        <v>215</v>
      </c>
      <c r="H108" s="813" t="s">
        <v>216</v>
      </c>
      <c r="I108" s="7"/>
      <c r="J108" s="7"/>
      <c r="K108" s="7"/>
    </row>
    <row r="109" spans="1:11" ht="53.25" hidden="1" customHeight="1" x14ac:dyDescent="0.25">
      <c r="A109" s="794"/>
      <c r="B109" s="794"/>
      <c r="C109" s="353"/>
      <c r="D109" s="794"/>
      <c r="E109" s="814"/>
      <c r="F109" s="814"/>
      <c r="G109" s="814"/>
      <c r="H109" s="847"/>
      <c r="I109" s="7"/>
      <c r="J109" s="7"/>
      <c r="K109" s="7"/>
    </row>
    <row r="110" spans="1:11" ht="15.75" hidden="1" x14ac:dyDescent="0.25">
      <c r="A110" s="804">
        <v>1</v>
      </c>
      <c r="B110" s="806"/>
      <c r="C110" s="353"/>
      <c r="D110" s="353">
        <v>2</v>
      </c>
      <c r="E110" s="353">
        <v>3</v>
      </c>
      <c r="F110" s="353" t="s">
        <v>40</v>
      </c>
      <c r="G110" s="353">
        <v>5</v>
      </c>
      <c r="H110" s="305"/>
      <c r="I110" s="7"/>
      <c r="J110" s="7"/>
      <c r="K110" s="7"/>
    </row>
    <row r="111" spans="1:11" ht="15.75" hidden="1" x14ac:dyDescent="0.25">
      <c r="A111" s="850">
        <f>'инновации+добровольчество0,3664'!A157:B157</f>
        <v>0</v>
      </c>
      <c r="B111" s="851"/>
      <c r="C111" s="100"/>
      <c r="D111" s="80">
        <f>'инновации+добровольчество0,3664'!D157</f>
        <v>0</v>
      </c>
      <c r="E111" s="70">
        <f>1*F107</f>
        <v>0.26719999999999999</v>
      </c>
      <c r="F111" s="77"/>
      <c r="G111" s="77"/>
      <c r="H111" s="77"/>
      <c r="I111" s="7"/>
      <c r="J111" s="7"/>
      <c r="K111" s="7"/>
    </row>
    <row r="112" spans="1:11" ht="15.75" hidden="1" x14ac:dyDescent="0.25">
      <c r="A112" s="848" t="s">
        <v>141</v>
      </c>
      <c r="B112" s="849"/>
      <c r="C112" s="99"/>
      <c r="D112" s="80">
        <f>'патриотика0,3664'!D168</f>
        <v>0.1832</v>
      </c>
      <c r="E112" s="353">
        <f>1*F107</f>
        <v>0.26719999999999999</v>
      </c>
      <c r="F112" s="77"/>
      <c r="G112" s="77"/>
      <c r="H112" s="77"/>
      <c r="I112" s="7"/>
      <c r="J112" s="7"/>
      <c r="K112" s="7"/>
    </row>
    <row r="113" spans="1:11" ht="15.75" hidden="1" x14ac:dyDescent="0.25">
      <c r="A113" s="848" t="s">
        <v>87</v>
      </c>
      <c r="B113" s="849"/>
      <c r="C113" s="99"/>
      <c r="D113" s="80">
        <f>'патриотика0,3664'!D169</f>
        <v>0.3664</v>
      </c>
      <c r="E113" s="353">
        <f>1*F107/2</f>
        <v>0.1336</v>
      </c>
      <c r="F113" s="77"/>
      <c r="G113" s="77"/>
      <c r="H113" s="77"/>
      <c r="I113" s="7"/>
      <c r="J113" s="7"/>
      <c r="K113" s="7"/>
    </row>
    <row r="114" spans="1:11" ht="15.75" hidden="1" x14ac:dyDescent="0.25">
      <c r="A114" s="848" t="s">
        <v>142</v>
      </c>
      <c r="B114" s="849"/>
      <c r="C114" s="99"/>
      <c r="D114" s="80" t="e">
        <f>'патриотика0,3664'!#REF!</f>
        <v>#REF!</v>
      </c>
      <c r="E114" s="353">
        <f>1*F107</f>
        <v>0.26719999999999999</v>
      </c>
      <c r="F114" s="77"/>
      <c r="G114" s="77"/>
      <c r="H114" s="77"/>
      <c r="I114" s="7"/>
      <c r="J114" s="7"/>
      <c r="K114" s="7"/>
    </row>
    <row r="115" spans="1:11" ht="15.75" hidden="1" x14ac:dyDescent="0.25">
      <c r="A115" s="794" t="s">
        <v>28</v>
      </c>
      <c r="B115" s="794"/>
      <c r="C115" s="794"/>
      <c r="D115" s="794"/>
      <c r="E115" s="794"/>
      <c r="F115" s="794"/>
      <c r="G115" s="353"/>
      <c r="H115" s="353"/>
      <c r="I115" s="7"/>
      <c r="J115" s="7"/>
      <c r="K115" s="7"/>
    </row>
    <row r="116" spans="1:11" ht="14.45" customHeight="1" x14ac:dyDescent="0.25">
      <c r="A116" s="700" t="s">
        <v>247</v>
      </c>
      <c r="B116" s="700"/>
      <c r="C116" s="700"/>
      <c r="D116" s="700"/>
      <c r="E116" s="700"/>
      <c r="F116" s="700"/>
      <c r="G116" s="700"/>
      <c r="H116" s="700"/>
    </row>
    <row r="117" spans="1:11" ht="14.45" customHeight="1" x14ac:dyDescent="0.25">
      <c r="A117" s="332"/>
      <c r="B117" s="332"/>
      <c r="C117" s="328"/>
      <c r="D117" s="332"/>
      <c r="E117" s="328"/>
      <c r="F117" s="328">
        <v>0.26719999999999999</v>
      </c>
      <c r="G117" s="332"/>
      <c r="H117" s="328"/>
    </row>
    <row r="118" spans="1:11" s="7" customFormat="1" ht="31.5" customHeight="1" x14ac:dyDescent="0.25">
      <c r="A118" s="308" t="s">
        <v>0</v>
      </c>
      <c r="B118" s="697" t="s">
        <v>1</v>
      </c>
      <c r="C118" s="324"/>
      <c r="D118" s="697" t="s">
        <v>2</v>
      </c>
      <c r="E118" s="638" t="s">
        <v>3</v>
      </c>
      <c r="F118" s="639"/>
      <c r="G118" s="844" t="s">
        <v>35</v>
      </c>
      <c r="H118" s="324" t="s">
        <v>5</v>
      </c>
      <c r="I118" s="697" t="s">
        <v>6</v>
      </c>
    </row>
    <row r="119" spans="1:11" s="7" customFormat="1" ht="30" x14ac:dyDescent="0.25">
      <c r="A119" s="386"/>
      <c r="B119" s="843"/>
      <c r="C119" s="324"/>
      <c r="D119" s="843"/>
      <c r="E119" s="324" t="s">
        <v>330</v>
      </c>
      <c r="F119" s="324" t="s">
        <v>319</v>
      </c>
      <c r="G119" s="846"/>
      <c r="H119" s="324" t="s">
        <v>51</v>
      </c>
      <c r="I119" s="843"/>
    </row>
    <row r="120" spans="1:11" s="7" customFormat="1" ht="15.75" x14ac:dyDescent="0.25">
      <c r="A120" s="387"/>
      <c r="B120" s="698"/>
      <c r="C120" s="324"/>
      <c r="D120" s="698"/>
      <c r="E120" s="324" t="s">
        <v>4</v>
      </c>
      <c r="F120" s="53"/>
      <c r="G120" s="845"/>
      <c r="H120" s="324" t="s">
        <v>332</v>
      </c>
      <c r="I120" s="698"/>
    </row>
    <row r="121" spans="1:11" s="7" customFormat="1" ht="15.75" x14ac:dyDescent="0.25">
      <c r="A121" s="813">
        <v>1</v>
      </c>
      <c r="B121" s="697">
        <v>2</v>
      </c>
      <c r="C121" s="324"/>
      <c r="D121" s="697">
        <v>3</v>
      </c>
      <c r="E121" s="697" t="s">
        <v>331</v>
      </c>
      <c r="F121" s="697">
        <v>5</v>
      </c>
      <c r="G121" s="844" t="s">
        <v>7</v>
      </c>
      <c r="H121" s="324" t="s">
        <v>52</v>
      </c>
      <c r="I121" s="697" t="s">
        <v>53</v>
      </c>
    </row>
    <row r="122" spans="1:11" s="7" customFormat="1" ht="15.75" x14ac:dyDescent="0.25">
      <c r="A122" s="814"/>
      <c r="B122" s="698"/>
      <c r="C122" s="324"/>
      <c r="D122" s="698"/>
      <c r="E122" s="698"/>
      <c r="F122" s="698"/>
      <c r="G122" s="845"/>
      <c r="H122" s="54">
        <v>1775.4</v>
      </c>
      <c r="I122" s="698"/>
    </row>
    <row r="123" spans="1:11" s="7" customFormat="1" ht="15.75" x14ac:dyDescent="0.25">
      <c r="A123" s="388" t="str">
        <f>'инновации+добровольчество0,3664'!A160</f>
        <v>Заведующий МЦ</v>
      </c>
      <c r="B123" s="87">
        <v>91213.26</v>
      </c>
      <c r="C123" s="87"/>
      <c r="D123" s="324">
        <f>1*F117</f>
        <v>0.26719999999999999</v>
      </c>
      <c r="E123" s="56">
        <f>D123*1774.4</f>
        <v>474.11968000000002</v>
      </c>
      <c r="F123" s="57">
        <v>1</v>
      </c>
      <c r="G123" s="58">
        <f>E123/F123</f>
        <v>474.11968000000002</v>
      </c>
      <c r="H123" s="56">
        <f>B123*1.302/1774.4*12</f>
        <v>803.15372759242564</v>
      </c>
      <c r="I123" s="56">
        <f>G123*H123+25052.54</f>
        <v>405843.52831692802</v>
      </c>
    </row>
    <row r="124" spans="1:11" s="7" customFormat="1" ht="15.75" x14ac:dyDescent="0.25">
      <c r="A124" s="388" t="str">
        <f>'инновации+добровольчество0,3664'!A161</f>
        <v>Водитель</v>
      </c>
      <c r="B124" s="37">
        <v>31947</v>
      </c>
      <c r="C124" s="166"/>
      <c r="D124" s="324">
        <f>1*F117</f>
        <v>0.26719999999999999</v>
      </c>
      <c r="E124" s="56">
        <f>D124*1774.4</f>
        <v>474.11968000000002</v>
      </c>
      <c r="F124" s="57">
        <v>1</v>
      </c>
      <c r="G124" s="58">
        <f t="shared" ref="G124:G126" si="3">E124/F124</f>
        <v>474.11968000000002</v>
      </c>
      <c r="H124" s="56">
        <f>B124*1.302/1774.4*12</f>
        <v>281.30068079350764</v>
      </c>
      <c r="I124" s="56">
        <f>G124*H124+8770.51</f>
        <v>142140.69876160001</v>
      </c>
    </row>
    <row r="125" spans="1:11" s="7" customFormat="1" ht="15.75" x14ac:dyDescent="0.25">
      <c r="A125" s="388" t="str">
        <f>'инновации+добровольчество0,3664'!A162</f>
        <v>Рабочий по обслуживанию здания</v>
      </c>
      <c r="B125" s="58">
        <v>31947</v>
      </c>
      <c r="C125" s="58"/>
      <c r="D125" s="324">
        <f>0.5*F117</f>
        <v>0.1336</v>
      </c>
      <c r="E125" s="56">
        <f>D125*1774.4</f>
        <v>237.05984000000001</v>
      </c>
      <c r="F125" s="57">
        <v>1</v>
      </c>
      <c r="G125" s="58">
        <f t="shared" si="3"/>
        <v>237.05984000000001</v>
      </c>
      <c r="H125" s="56">
        <f>B125*1.302/1774.4*12</f>
        <v>281.30068079350764</v>
      </c>
      <c r="I125" s="56">
        <f>G125*H125+4385.25</f>
        <v>71070.344380800001</v>
      </c>
    </row>
    <row r="126" spans="1:11" s="7" customFormat="1" ht="15.75" x14ac:dyDescent="0.25">
      <c r="A126" s="388" t="str">
        <f>'инновации+добровольчество0,3664'!A163</f>
        <v>Уборщик служебных помещений</v>
      </c>
      <c r="B126" s="37">
        <v>31947</v>
      </c>
      <c r="C126" s="326"/>
      <c r="D126" s="324">
        <f>1*F117</f>
        <v>0.26719999999999999</v>
      </c>
      <c r="E126" s="56">
        <f>D126*1774.4</f>
        <v>474.11968000000002</v>
      </c>
      <c r="F126" s="57">
        <v>1</v>
      </c>
      <c r="G126" s="58">
        <f t="shared" si="3"/>
        <v>474.11968000000002</v>
      </c>
      <c r="H126" s="56">
        <f>B126*1.302/1774.4*12</f>
        <v>281.30068079350764</v>
      </c>
      <c r="I126" s="56">
        <f>G126*H126+8770.5</f>
        <v>142140.6887616</v>
      </c>
      <c r="J126" s="162"/>
    </row>
    <row r="127" spans="1:11" s="7" customFormat="1" ht="15.75" x14ac:dyDescent="0.25">
      <c r="A127" s="804" t="s">
        <v>28</v>
      </c>
      <c r="B127" s="805"/>
      <c r="C127" s="805"/>
      <c r="D127" s="805"/>
      <c r="E127" s="805"/>
      <c r="F127" s="806"/>
      <c r="G127" s="349"/>
      <c r="H127" s="349"/>
      <c r="I127" s="385">
        <f>SUM(I123:I126)</f>
        <v>761195.26022092812</v>
      </c>
    </row>
    <row r="128" spans="1:11" ht="18.75" x14ac:dyDescent="0.25">
      <c r="A128" s="332"/>
      <c r="B128" s="146"/>
      <c r="C128" s="146"/>
      <c r="D128" s="206"/>
      <c r="E128" s="206"/>
      <c r="F128" s="206"/>
      <c r="G128" s="206"/>
      <c r="H128" s="208"/>
    </row>
    <row r="129" spans="1:9" ht="18.75" x14ac:dyDescent="0.25">
      <c r="A129" s="332"/>
      <c r="B129" s="146"/>
      <c r="C129" s="146"/>
      <c r="D129" s="206"/>
      <c r="E129" s="206"/>
      <c r="F129" s="206"/>
      <c r="G129" s="206"/>
      <c r="H129" s="208"/>
    </row>
    <row r="130" spans="1:9" ht="14.45" customHeight="1" x14ac:dyDescent="0.25">
      <c r="A130" s="700" t="s">
        <v>338</v>
      </c>
      <c r="B130" s="700"/>
      <c r="C130" s="700"/>
      <c r="D130" s="640"/>
      <c r="E130" s="640"/>
      <c r="F130" s="640"/>
      <c r="G130" s="640"/>
      <c r="H130" s="640"/>
    </row>
    <row r="131" spans="1:9" ht="14.45" customHeight="1" x14ac:dyDescent="0.25">
      <c r="A131" s="649" t="s">
        <v>60</v>
      </c>
      <c r="B131" s="652" t="s">
        <v>155</v>
      </c>
      <c r="C131" s="653"/>
      <c r="D131" s="658"/>
      <c r="E131" s="659"/>
      <c r="F131" s="660"/>
      <c r="G131" s="207"/>
      <c r="H131" s="207"/>
    </row>
    <row r="132" spans="1:9" ht="14.45" customHeight="1" x14ac:dyDescent="0.25">
      <c r="A132" s="650"/>
      <c r="B132" s="654"/>
      <c r="C132" s="655"/>
      <c r="D132" s="661" t="s">
        <v>159</v>
      </c>
      <c r="E132" s="650" t="s">
        <v>165</v>
      </c>
      <c r="F132" s="650" t="s">
        <v>6</v>
      </c>
      <c r="G132" s="45"/>
    </row>
    <row r="133" spans="1:9" x14ac:dyDescent="0.25">
      <c r="A133" s="651"/>
      <c r="B133" s="656"/>
      <c r="C133" s="657"/>
      <c r="D133" s="662"/>
      <c r="E133" s="651"/>
      <c r="F133" s="651"/>
      <c r="G133" s="45"/>
    </row>
    <row r="134" spans="1:9" x14ac:dyDescent="0.25">
      <c r="A134" s="163">
        <v>1</v>
      </c>
      <c r="B134" s="658">
        <v>2</v>
      </c>
      <c r="C134" s="660"/>
      <c r="D134" s="163">
        <v>5</v>
      </c>
      <c r="E134" s="163">
        <v>6</v>
      </c>
      <c r="F134" s="163">
        <v>7</v>
      </c>
      <c r="G134" s="45"/>
    </row>
    <row r="135" spans="1:9" x14ac:dyDescent="0.25">
      <c r="A135" s="313" t="s">
        <v>162</v>
      </c>
      <c r="B135" s="233">
        <v>0.26719999999999999</v>
      </c>
      <c r="C135" s="314"/>
      <c r="D135" s="145">
        <v>52769.77</v>
      </c>
      <c r="E135" s="178">
        <f t="shared" ref="E135:E137" si="4">D135*30.2%</f>
        <v>15936.470539999998</v>
      </c>
      <c r="F135" s="178">
        <f>B135*(D135+E135)</f>
        <v>18358.307472288001</v>
      </c>
      <c r="G135" s="45"/>
    </row>
    <row r="136" spans="1:9" x14ac:dyDescent="0.25">
      <c r="A136" s="313" t="s">
        <v>163</v>
      </c>
      <c r="B136" s="233">
        <v>0.26719999999999999</v>
      </c>
      <c r="C136" s="314"/>
      <c r="D136" s="145">
        <v>26384.89</v>
      </c>
      <c r="E136" s="178">
        <f t="shared" si="4"/>
        <v>7968.2367799999993</v>
      </c>
      <c r="F136" s="178">
        <f>B136*(D136+E136)</f>
        <v>9179.1554756159985</v>
      </c>
      <c r="G136" s="45"/>
    </row>
    <row r="137" spans="1:9" x14ac:dyDescent="0.25">
      <c r="A137" s="313" t="s">
        <v>142</v>
      </c>
      <c r="B137" s="233">
        <v>0.26719999999999999</v>
      </c>
      <c r="C137" s="314"/>
      <c r="D137" s="145">
        <v>52769.77</v>
      </c>
      <c r="E137" s="178">
        <f t="shared" si="4"/>
        <v>15936.470539999998</v>
      </c>
      <c r="F137" s="178">
        <f>B137*(D137+E137)</f>
        <v>18358.307472288001</v>
      </c>
      <c r="G137" s="45"/>
    </row>
    <row r="138" spans="1:9" x14ac:dyDescent="0.25">
      <c r="A138" s="148"/>
      <c r="B138" s="311"/>
      <c r="C138" s="149"/>
      <c r="D138" s="124">
        <v>0</v>
      </c>
      <c r="E138" s="124">
        <v>0</v>
      </c>
      <c r="F138" s="275">
        <f>SUM(F135:F137)</f>
        <v>45895.770420191999</v>
      </c>
      <c r="G138" s="45"/>
    </row>
    <row r="139" spans="1:9" ht="15.75" x14ac:dyDescent="0.25">
      <c r="A139" s="4"/>
      <c r="B139" s="156"/>
      <c r="C139" s="156"/>
      <c r="D139" s="156"/>
      <c r="E139" s="156"/>
      <c r="F139" s="156"/>
      <c r="G139" s="162"/>
      <c r="H139" s="7"/>
      <c r="I139" s="7"/>
    </row>
    <row r="140" spans="1:9" ht="15.75" x14ac:dyDescent="0.25">
      <c r="A140" s="4"/>
      <c r="B140" s="156"/>
      <c r="C140" s="156"/>
      <c r="D140" s="156"/>
      <c r="E140" s="156"/>
      <c r="F140" s="156"/>
      <c r="G140" s="162"/>
      <c r="H140" s="7"/>
      <c r="I140" s="7"/>
    </row>
    <row r="141" spans="1:9" ht="15.75" x14ac:dyDescent="0.25">
      <c r="A141" s="644" t="s">
        <v>12</v>
      </c>
      <c r="B141" s="644"/>
      <c r="C141" s="644"/>
      <c r="D141" s="644"/>
      <c r="E141" s="644"/>
      <c r="F141" s="644"/>
      <c r="G141" s="162"/>
      <c r="H141" s="7"/>
      <c r="I141" s="7"/>
    </row>
    <row r="142" spans="1:9" ht="15.75" x14ac:dyDescent="0.25">
      <c r="A142" s="156"/>
      <c r="B142" s="156"/>
      <c r="C142" s="156"/>
      <c r="D142" s="156"/>
      <c r="E142" s="156"/>
      <c r="F142" s="161">
        <f>F107</f>
        <v>0.26719999999999999</v>
      </c>
      <c r="G142" s="162"/>
      <c r="H142" s="7"/>
      <c r="I142" s="7"/>
    </row>
    <row r="143" spans="1:9" ht="15.75" x14ac:dyDescent="0.25">
      <c r="A143" s="794" t="s">
        <v>13</v>
      </c>
      <c r="B143" s="813" t="s">
        <v>11</v>
      </c>
      <c r="C143" s="353"/>
      <c r="D143" s="794" t="s">
        <v>14</v>
      </c>
      <c r="E143" s="794" t="s">
        <v>90</v>
      </c>
      <c r="F143" s="794" t="s">
        <v>6</v>
      </c>
      <c r="G143" s="162"/>
      <c r="H143" s="7"/>
      <c r="I143" s="7"/>
    </row>
    <row r="144" spans="1:9" ht="3.6" customHeight="1" x14ac:dyDescent="0.25">
      <c r="A144" s="794"/>
      <c r="B144" s="814"/>
      <c r="C144" s="353"/>
      <c r="D144" s="794"/>
      <c r="E144" s="794"/>
      <c r="F144" s="794"/>
      <c r="G144" s="162"/>
      <c r="H144" s="7"/>
      <c r="I144" s="7"/>
    </row>
    <row r="145" spans="1:9" ht="16.5" thickBot="1" x14ac:dyDescent="0.3">
      <c r="A145" s="353">
        <v>1</v>
      </c>
      <c r="B145" s="353">
        <v>2</v>
      </c>
      <c r="C145" s="353"/>
      <c r="D145" s="353">
        <v>3</v>
      </c>
      <c r="E145" s="353">
        <v>4</v>
      </c>
      <c r="F145" s="353" t="s">
        <v>174</v>
      </c>
      <c r="G145" s="162"/>
      <c r="H145" s="7"/>
      <c r="I145" s="7"/>
    </row>
    <row r="146" spans="1:9" ht="15.75" x14ac:dyDescent="0.25">
      <c r="A146" s="451" t="s">
        <v>17</v>
      </c>
      <c r="B146" s="353" t="str">
        <f>'инновации+добровольчество0,3664'!B189</f>
        <v>Гкал</v>
      </c>
      <c r="C146" s="353"/>
      <c r="D146" s="454">
        <f>55*F142</f>
        <v>14.696</v>
      </c>
      <c r="E146" s="426">
        <v>3520</v>
      </c>
      <c r="F146" s="77">
        <f>D146*E146+0.15</f>
        <v>51730.07</v>
      </c>
      <c r="G146" s="162"/>
      <c r="H146" s="7"/>
      <c r="I146" s="7"/>
    </row>
    <row r="147" spans="1:9" ht="15.75" x14ac:dyDescent="0.25">
      <c r="A147" s="452" t="s">
        <v>248</v>
      </c>
      <c r="B147" s="353" t="str">
        <f>'инновации+добровольчество0,3664'!B190</f>
        <v>м2</v>
      </c>
      <c r="C147" s="353"/>
      <c r="D147" s="455">
        <f>106.3*F142</f>
        <v>28.403359999999999</v>
      </c>
      <c r="E147" s="427">
        <v>63.4</v>
      </c>
      <c r="F147" s="77">
        <f t="shared" ref="F147:F151" si="5">D147*E147</f>
        <v>1800.7730239999999</v>
      </c>
      <c r="G147" s="162"/>
      <c r="H147" s="7"/>
      <c r="I147" s="7"/>
    </row>
    <row r="148" spans="1:9" ht="15.75" x14ac:dyDescent="0.25">
      <c r="A148" s="452" t="s">
        <v>249</v>
      </c>
      <c r="B148" s="353" t="str">
        <f>'инновации+добровольчество0,3664'!B191</f>
        <v>м3</v>
      </c>
      <c r="C148" s="353"/>
      <c r="D148" s="455">
        <f>3*F142</f>
        <v>0.80159999999999998</v>
      </c>
      <c r="E148" s="427">
        <v>14000</v>
      </c>
      <c r="F148" s="77">
        <f t="shared" si="5"/>
        <v>11222.4</v>
      </c>
      <c r="G148" s="162"/>
      <c r="H148" s="7"/>
      <c r="I148" s="7"/>
    </row>
    <row r="149" spans="1:9" ht="15.75" x14ac:dyDescent="0.25">
      <c r="A149" s="452" t="s">
        <v>16</v>
      </c>
      <c r="B149" s="353" t="str">
        <f>'инновации+добровольчество0,3664'!B192</f>
        <v>МВт час.</v>
      </c>
      <c r="C149" s="353"/>
      <c r="D149" s="455">
        <f>6*F142</f>
        <v>1.6032</v>
      </c>
      <c r="E149" s="427">
        <v>7600</v>
      </c>
      <c r="F149" s="77">
        <f t="shared" si="5"/>
        <v>12184.32</v>
      </c>
      <c r="G149" s="162"/>
      <c r="H149" s="7"/>
      <c r="I149" s="7"/>
    </row>
    <row r="150" spans="1:9" ht="15.75" x14ac:dyDescent="0.25">
      <c r="A150" s="452" t="s">
        <v>205</v>
      </c>
      <c r="B150" s="353" t="str">
        <f>'инновации+добровольчество0,3664'!B193</f>
        <v>договор</v>
      </c>
      <c r="C150" s="315"/>
      <c r="D150" s="455">
        <f>8*F142</f>
        <v>2.1375999999999999</v>
      </c>
      <c r="E150" s="427">
        <v>2250</v>
      </c>
      <c r="F150" s="77">
        <f t="shared" si="5"/>
        <v>4809.5999999999995</v>
      </c>
      <c r="G150" s="162"/>
      <c r="H150" s="7"/>
      <c r="I150" s="7"/>
    </row>
    <row r="151" spans="1:9" ht="16.5" thickBot="1" x14ac:dyDescent="0.3">
      <c r="A151" s="453" t="s">
        <v>250</v>
      </c>
      <c r="B151" s="353" t="str">
        <f>'инновации+добровольчество0,3664'!B194</f>
        <v>МВт час.</v>
      </c>
      <c r="C151" s="315"/>
      <c r="D151" s="456">
        <f>5*F142</f>
        <v>1.3359999999999999</v>
      </c>
      <c r="E151" s="428">
        <v>7600</v>
      </c>
      <c r="F151" s="77">
        <f t="shared" si="5"/>
        <v>10153.599999999999</v>
      </c>
      <c r="G151" s="162"/>
      <c r="H151" s="7"/>
      <c r="I151" s="7"/>
    </row>
    <row r="152" spans="1:9" ht="18.75" x14ac:dyDescent="0.25">
      <c r="A152" s="863"/>
      <c r="B152" s="863"/>
      <c r="C152" s="863"/>
      <c r="D152" s="863"/>
      <c r="E152" s="863"/>
      <c r="F152" s="280">
        <f>SUM(F146:F151)</f>
        <v>91900.763024000014</v>
      </c>
      <c r="G152" s="162"/>
      <c r="H152" s="7"/>
      <c r="I152" s="7"/>
    </row>
    <row r="153" spans="1:9" ht="18.75" x14ac:dyDescent="0.25">
      <c r="A153" s="240"/>
      <c r="B153" s="240"/>
      <c r="C153" s="240"/>
      <c r="D153" s="240"/>
      <c r="E153" s="240"/>
      <c r="F153" s="241"/>
      <c r="G153" s="242"/>
      <c r="H153" s="7"/>
      <c r="I153" s="7"/>
    </row>
    <row r="154" spans="1:9" s="7" customFormat="1" ht="25.5" x14ac:dyDescent="0.25">
      <c r="A154" s="335" t="s">
        <v>111</v>
      </c>
      <c r="B154" s="347" t="s">
        <v>112</v>
      </c>
      <c r="C154" s="238"/>
      <c r="D154" s="347" t="s">
        <v>116</v>
      </c>
      <c r="E154" s="347" t="s">
        <v>113</v>
      </c>
      <c r="F154" s="347" t="s">
        <v>114</v>
      </c>
      <c r="G154" s="239" t="s">
        <v>6</v>
      </c>
    </row>
    <row r="155" spans="1:9" s="7" customFormat="1" ht="15.75" x14ac:dyDescent="0.25">
      <c r="A155" s="313">
        <v>1</v>
      </c>
      <c r="B155" s="315">
        <v>2</v>
      </c>
      <c r="C155" s="338"/>
      <c r="D155" s="315">
        <v>3</v>
      </c>
      <c r="E155" s="315">
        <v>4</v>
      </c>
      <c r="F155" s="315">
        <v>5</v>
      </c>
      <c r="G155" s="360" t="s">
        <v>323</v>
      </c>
    </row>
    <row r="156" spans="1:9" s="7" customFormat="1" ht="15.75" x14ac:dyDescent="0.25">
      <c r="A156" s="315" t="s">
        <v>115</v>
      </c>
      <c r="B156" s="315">
        <v>1</v>
      </c>
      <c r="C156" s="315">
        <f>'инновации+добровольчество0,3664'!C180</f>
        <v>0</v>
      </c>
      <c r="D156" s="315">
        <f>'инновации+добровольчество0,3664'!D180</f>
        <v>12</v>
      </c>
      <c r="E156" s="315">
        <f>'инновации+добровольчество0,3664'!E180</f>
        <v>75</v>
      </c>
      <c r="F156" s="315">
        <v>242.5</v>
      </c>
      <c r="G156" s="159">
        <f>F156*F142</f>
        <v>64.795999999999992</v>
      </c>
    </row>
    <row r="157" spans="1:9" s="7" customFormat="1" ht="18.75" x14ac:dyDescent="0.25">
      <c r="A157" s="123"/>
      <c r="B157" s="123"/>
      <c r="C157" s="123"/>
      <c r="D157" s="123"/>
      <c r="E157" s="311" t="s">
        <v>88</v>
      </c>
      <c r="F157" s="124">
        <f>F156</f>
        <v>242.5</v>
      </c>
      <c r="G157" s="279">
        <f>G156</f>
        <v>64.795999999999992</v>
      </c>
    </row>
    <row r="158" spans="1:9" ht="15.75" x14ac:dyDescent="0.25">
      <c r="A158" s="821" t="s">
        <v>59</v>
      </c>
      <c r="B158" s="821"/>
      <c r="C158" s="821"/>
      <c r="D158" s="821"/>
      <c r="E158" s="821"/>
      <c r="F158" s="821"/>
      <c r="G158" s="162"/>
      <c r="H158" s="7"/>
      <c r="I158" s="7"/>
    </row>
    <row r="159" spans="1:9" ht="15.75" x14ac:dyDescent="0.25">
      <c r="A159" s="352" t="s">
        <v>81</v>
      </c>
      <c r="B159" s="6" t="s">
        <v>437</v>
      </c>
      <c r="C159" s="6"/>
      <c r="D159" s="6"/>
      <c r="E159" s="7"/>
      <c r="F159" s="7"/>
      <c r="G159" s="162"/>
      <c r="H159" s="7"/>
      <c r="I159" s="7"/>
    </row>
    <row r="160" spans="1:9" ht="15.75" x14ac:dyDescent="0.25">
      <c r="A160" s="7"/>
      <c r="B160" s="7"/>
      <c r="C160" s="7"/>
      <c r="D160" s="153">
        <f>F142</f>
        <v>0.26719999999999999</v>
      </c>
      <c r="E160" s="7"/>
      <c r="F160" s="7"/>
      <c r="G160" s="162"/>
      <c r="H160" s="7"/>
      <c r="I160" s="7"/>
    </row>
    <row r="161" spans="1:9" ht="15" customHeight="1" x14ac:dyDescent="0.25">
      <c r="A161" s="795" t="s">
        <v>121</v>
      </c>
      <c r="B161" s="795"/>
      <c r="C161" s="343"/>
      <c r="D161" s="795" t="s">
        <v>11</v>
      </c>
      <c r="E161" s="818" t="s">
        <v>48</v>
      </c>
      <c r="F161" s="818" t="s">
        <v>15</v>
      </c>
      <c r="G161" s="841" t="s">
        <v>6</v>
      </c>
      <c r="H161" s="7"/>
      <c r="I161" s="7"/>
    </row>
    <row r="162" spans="1:9" ht="15.75" x14ac:dyDescent="0.25">
      <c r="A162" s="795"/>
      <c r="B162" s="795"/>
      <c r="C162" s="343"/>
      <c r="D162" s="795"/>
      <c r="E162" s="819"/>
      <c r="F162" s="819"/>
      <c r="G162" s="842"/>
      <c r="H162" s="7"/>
      <c r="I162" s="7"/>
    </row>
    <row r="163" spans="1:9" ht="15.75" x14ac:dyDescent="0.25">
      <c r="A163" s="796">
        <v>1</v>
      </c>
      <c r="B163" s="797"/>
      <c r="C163" s="344"/>
      <c r="D163" s="343">
        <v>2</v>
      </c>
      <c r="E163" s="343">
        <v>3</v>
      </c>
      <c r="F163" s="343">
        <v>4</v>
      </c>
      <c r="G163" s="86" t="s">
        <v>68</v>
      </c>
      <c r="H163" s="7"/>
      <c r="I163" s="7"/>
    </row>
    <row r="164" spans="1:9" ht="15.75" x14ac:dyDescent="0.25">
      <c r="A164" s="798" t="str">
        <f>A48</f>
        <v>Суточные</v>
      </c>
      <c r="B164" s="799"/>
      <c r="C164" s="346"/>
      <c r="D164" s="343" t="str">
        <f>D48</f>
        <v>сутки</v>
      </c>
      <c r="E164" s="356">
        <f>17*5*D160</f>
        <v>22.712</v>
      </c>
      <c r="F164" s="356">
        <f>F48</f>
        <v>450</v>
      </c>
      <c r="G164" s="86">
        <f>E164*F164</f>
        <v>10220.4</v>
      </c>
      <c r="H164" s="7"/>
      <c r="I164" s="7"/>
    </row>
    <row r="165" spans="1:9" ht="15.75" x14ac:dyDescent="0.25">
      <c r="A165" s="798" t="str">
        <f>A49</f>
        <v>Проезд</v>
      </c>
      <c r="B165" s="799"/>
      <c r="C165" s="346"/>
      <c r="D165" s="343" t="str">
        <f>D49</f>
        <v xml:space="preserve">Ед. </v>
      </c>
      <c r="E165" s="356">
        <f>17*D160*2</f>
        <v>9.0847999999999995</v>
      </c>
      <c r="F165" s="356">
        <v>8200</v>
      </c>
      <c r="G165" s="86">
        <f t="shared" ref="G165" si="6">E165*F165</f>
        <v>74495.360000000001</v>
      </c>
      <c r="H165" s="7"/>
      <c r="I165" s="7"/>
    </row>
    <row r="166" spans="1:9" ht="15.75" x14ac:dyDescent="0.25">
      <c r="A166" s="798" t="str">
        <f>A50</f>
        <v xml:space="preserve">Проживание </v>
      </c>
      <c r="B166" s="799"/>
      <c r="C166" s="346"/>
      <c r="D166" s="343" t="str">
        <f>D50</f>
        <v>сутки</v>
      </c>
      <c r="E166" s="356">
        <f>17*3*D160</f>
        <v>13.6272</v>
      </c>
      <c r="F166" s="356">
        <v>1257.8399999999999</v>
      </c>
      <c r="G166" s="86">
        <f>E166*F166+0.04</f>
        <v>17140.877248000001</v>
      </c>
      <c r="H166" s="7"/>
      <c r="I166" s="7"/>
    </row>
    <row r="167" spans="1:9" ht="18.75" x14ac:dyDescent="0.25">
      <c r="A167" s="827" t="s">
        <v>58</v>
      </c>
      <c r="B167" s="828"/>
      <c r="C167" s="354"/>
      <c r="D167" s="343"/>
      <c r="E167" s="82"/>
      <c r="F167" s="82"/>
      <c r="G167" s="272">
        <f>SUM(G164:G166)</f>
        <v>101856.637248</v>
      </c>
      <c r="H167" s="7"/>
      <c r="I167" s="7"/>
    </row>
    <row r="168" spans="1:9" ht="15.75" x14ac:dyDescent="0.25">
      <c r="A168" s="817" t="s">
        <v>36</v>
      </c>
      <c r="B168" s="817"/>
      <c r="C168" s="817"/>
      <c r="D168" s="817"/>
      <c r="E168" s="817"/>
      <c r="F168" s="817"/>
      <c r="G168" s="184"/>
      <c r="H168" s="7"/>
      <c r="I168" s="7"/>
    </row>
    <row r="169" spans="1:9" ht="16.5" thickBot="1" x14ac:dyDescent="0.3">
      <c r="A169" s="7"/>
      <c r="B169" s="7"/>
      <c r="C169" s="7"/>
      <c r="D169" s="160">
        <f>D160</f>
        <v>0.26719999999999999</v>
      </c>
      <c r="E169" s="7"/>
      <c r="F169" s="7"/>
      <c r="G169" s="162"/>
      <c r="H169" s="7"/>
      <c r="I169" s="7"/>
    </row>
    <row r="170" spans="1:9" ht="30" customHeight="1" x14ac:dyDescent="0.25">
      <c r="A170" s="853" t="s">
        <v>24</v>
      </c>
      <c r="B170" s="855" t="s">
        <v>11</v>
      </c>
      <c r="C170" s="465"/>
      <c r="D170" s="857" t="s">
        <v>48</v>
      </c>
      <c r="E170" s="857" t="s">
        <v>90</v>
      </c>
      <c r="F170" s="855" t="s">
        <v>177</v>
      </c>
      <c r="G170" s="864" t="s">
        <v>6</v>
      </c>
      <c r="H170" s="7"/>
      <c r="I170" s="7"/>
    </row>
    <row r="171" spans="1:9" ht="15.75" customHeight="1" thickBot="1" x14ac:dyDescent="0.3">
      <c r="A171" s="854"/>
      <c r="B171" s="856"/>
      <c r="C171" s="466"/>
      <c r="D171" s="858"/>
      <c r="E171" s="858"/>
      <c r="F171" s="856"/>
      <c r="G171" s="865"/>
      <c r="H171" s="7"/>
      <c r="I171" s="7"/>
    </row>
    <row r="172" spans="1:9" ht="16.5" thickBot="1" x14ac:dyDescent="0.3">
      <c r="A172" s="462">
        <v>1</v>
      </c>
      <c r="B172" s="463">
        <v>2</v>
      </c>
      <c r="C172" s="463"/>
      <c r="D172" s="463">
        <v>3</v>
      </c>
      <c r="E172" s="463">
        <v>4</v>
      </c>
      <c r="F172" s="463">
        <v>5</v>
      </c>
      <c r="G172" s="464" t="s">
        <v>69</v>
      </c>
      <c r="H172" s="7"/>
      <c r="I172" s="7"/>
    </row>
    <row r="173" spans="1:9" ht="21.75" customHeight="1" x14ac:dyDescent="0.25">
      <c r="A173" s="467" t="s">
        <v>251</v>
      </c>
      <c r="B173" s="445" t="s">
        <v>22</v>
      </c>
      <c r="C173" s="447"/>
      <c r="D173" s="460">
        <v>0</v>
      </c>
      <c r="E173" s="461">
        <v>6.5</v>
      </c>
      <c r="F173" s="445">
        <v>12</v>
      </c>
      <c r="G173" s="449">
        <f>D173*E173*F173</f>
        <v>0</v>
      </c>
      <c r="H173" s="7"/>
      <c r="I173" s="7"/>
    </row>
    <row r="174" spans="1:9" ht="15.75" x14ac:dyDescent="0.25">
      <c r="A174" s="420" t="s">
        <v>252</v>
      </c>
      <c r="B174" s="443" t="s">
        <v>22</v>
      </c>
      <c r="C174" s="446"/>
      <c r="D174" s="398">
        <f>37.5*D169</f>
        <v>10.02</v>
      </c>
      <c r="E174" s="393">
        <v>4</v>
      </c>
      <c r="F174" s="443">
        <v>12</v>
      </c>
      <c r="G174" s="86">
        <f t="shared" ref="G174:G177" si="7">D174*E174*F174</f>
        <v>480.96</v>
      </c>
      <c r="H174" s="7"/>
      <c r="I174" s="7"/>
    </row>
    <row r="175" spans="1:9" ht="15.75" x14ac:dyDescent="0.25">
      <c r="A175" s="420" t="s">
        <v>176</v>
      </c>
      <c r="B175" s="443" t="s">
        <v>22</v>
      </c>
      <c r="C175" s="446"/>
      <c r="D175" s="399">
        <f>1*D169</f>
        <v>0.26719999999999999</v>
      </c>
      <c r="E175" s="400">
        <v>2183</v>
      </c>
      <c r="F175" s="443">
        <v>12</v>
      </c>
      <c r="G175" s="86">
        <f>D175*E175*F175</f>
        <v>6999.5712000000003</v>
      </c>
      <c r="H175" s="7"/>
      <c r="I175" s="7"/>
    </row>
    <row r="176" spans="1:9" ht="15.75" x14ac:dyDescent="0.25">
      <c r="A176" s="420" t="s">
        <v>253</v>
      </c>
      <c r="B176" s="443" t="s">
        <v>22</v>
      </c>
      <c r="C176" s="446"/>
      <c r="D176" s="399">
        <f>1*D169</f>
        <v>0.26719999999999999</v>
      </c>
      <c r="E176" s="400">
        <v>16800</v>
      </c>
      <c r="F176" s="443">
        <v>12</v>
      </c>
      <c r="G176" s="86">
        <f>D176*E176*F176+1.07</f>
        <v>53868.590000000004</v>
      </c>
      <c r="H176" s="7"/>
      <c r="I176" s="7"/>
    </row>
    <row r="177" spans="1:9" ht="16.5" thickBot="1" x14ac:dyDescent="0.3">
      <c r="A177" s="420" t="s">
        <v>299</v>
      </c>
      <c r="B177" s="443" t="s">
        <v>84</v>
      </c>
      <c r="C177" s="446"/>
      <c r="D177" s="399">
        <f>1*D169</f>
        <v>0.26719999999999999</v>
      </c>
      <c r="E177" s="400">
        <v>680</v>
      </c>
      <c r="F177" s="443">
        <v>1</v>
      </c>
      <c r="G177" s="448">
        <f t="shared" si="7"/>
        <v>181.696</v>
      </c>
      <c r="H177" s="7"/>
      <c r="I177" s="7"/>
    </row>
    <row r="178" spans="1:9" ht="19.5" thickBot="1" x14ac:dyDescent="0.35">
      <c r="A178" s="826" t="s">
        <v>26</v>
      </c>
      <c r="B178" s="826"/>
      <c r="C178" s="826"/>
      <c r="D178" s="826"/>
      <c r="E178" s="826"/>
      <c r="F178" s="859"/>
      <c r="G178" s="468">
        <f>SUM(G173:G177)</f>
        <v>61530.817200000005</v>
      </c>
      <c r="H178" s="7"/>
      <c r="I178" s="7"/>
    </row>
    <row r="179" spans="1:9" ht="15.75" x14ac:dyDescent="0.25">
      <c r="A179" s="817" t="s">
        <v>55</v>
      </c>
      <c r="B179" s="817"/>
      <c r="C179" s="817"/>
      <c r="D179" s="817"/>
      <c r="E179" s="817"/>
      <c r="F179" s="817"/>
      <c r="G179" s="162"/>
      <c r="H179" s="7"/>
      <c r="I179" s="7"/>
    </row>
    <row r="180" spans="1:9" ht="15.75" x14ac:dyDescent="0.25">
      <c r="A180" s="7"/>
      <c r="B180" s="7"/>
      <c r="C180" s="7"/>
      <c r="D180" s="160">
        <f>D169</f>
        <v>0.26719999999999999</v>
      </c>
      <c r="E180" s="7"/>
      <c r="F180" s="7"/>
      <c r="G180" s="162"/>
      <c r="H180" s="7"/>
      <c r="I180" s="7"/>
    </row>
    <row r="181" spans="1:9" ht="10.15" customHeight="1" x14ac:dyDescent="0.25">
      <c r="A181" s="795" t="s">
        <v>194</v>
      </c>
      <c r="B181" s="818" t="s">
        <v>11</v>
      </c>
      <c r="C181" s="343"/>
      <c r="D181" s="795" t="s">
        <v>48</v>
      </c>
      <c r="E181" s="795" t="s">
        <v>91</v>
      </c>
      <c r="F181" s="795" t="s">
        <v>25</v>
      </c>
      <c r="G181" s="841" t="s">
        <v>6</v>
      </c>
      <c r="H181" s="7"/>
      <c r="I181" s="7"/>
    </row>
    <row r="182" spans="1:9" ht="4.1500000000000004" customHeight="1" x14ac:dyDescent="0.25">
      <c r="A182" s="795"/>
      <c r="B182" s="819"/>
      <c r="C182" s="343"/>
      <c r="D182" s="795"/>
      <c r="E182" s="795"/>
      <c r="F182" s="795"/>
      <c r="G182" s="842"/>
      <c r="H182" s="7"/>
      <c r="I182" s="7"/>
    </row>
    <row r="183" spans="1:9" ht="15.75" x14ac:dyDescent="0.25">
      <c r="A183" s="343">
        <v>1</v>
      </c>
      <c r="B183" s="343">
        <v>2</v>
      </c>
      <c r="C183" s="343"/>
      <c r="D183" s="343">
        <v>3</v>
      </c>
      <c r="E183" s="343">
        <v>4</v>
      </c>
      <c r="F183" s="343">
        <v>5</v>
      </c>
      <c r="G183" s="81" t="s">
        <v>70</v>
      </c>
      <c r="H183" s="7"/>
      <c r="I183" s="7"/>
    </row>
    <row r="184" spans="1:9" ht="15.75" hidden="1" x14ac:dyDescent="0.25">
      <c r="A184" s="76" t="str">
        <f>'инновации+добровольчество0,3664'!A221</f>
        <v>Проезд к месту учебы</v>
      </c>
      <c r="B184" s="343" t="s">
        <v>122</v>
      </c>
      <c r="C184" s="343"/>
      <c r="D184" s="343"/>
      <c r="E184" s="343"/>
      <c r="F184" s="343"/>
      <c r="G184" s="81"/>
      <c r="H184" s="7"/>
      <c r="I184" s="7"/>
    </row>
    <row r="185" spans="1:9" ht="15.75" x14ac:dyDescent="0.25">
      <c r="A185" s="73" t="s">
        <v>300</v>
      </c>
      <c r="B185" s="343" t="s">
        <v>22</v>
      </c>
      <c r="C185" s="343"/>
      <c r="D185" s="343">
        <f>1*D180</f>
        <v>0.26719999999999999</v>
      </c>
      <c r="E185" s="343">
        <v>55000</v>
      </c>
      <c r="F185" s="343">
        <v>1</v>
      </c>
      <c r="G185" s="81">
        <f>D185*E185*F185</f>
        <v>14696</v>
      </c>
      <c r="H185" s="7"/>
      <c r="I185" s="7"/>
    </row>
    <row r="186" spans="1:9" ht="18.75" x14ac:dyDescent="0.25">
      <c r="A186" s="859" t="s">
        <v>56</v>
      </c>
      <c r="B186" s="860"/>
      <c r="C186" s="860"/>
      <c r="D186" s="860"/>
      <c r="E186" s="860"/>
      <c r="F186" s="861"/>
      <c r="G186" s="270">
        <f>SUM(G184:G185)</f>
        <v>14696</v>
      </c>
      <c r="H186" s="7"/>
      <c r="I186" s="7"/>
    </row>
    <row r="187" spans="1:9" ht="15.75" x14ac:dyDescent="0.25">
      <c r="A187" s="862" t="s">
        <v>19</v>
      </c>
      <c r="B187" s="862"/>
      <c r="C187" s="862"/>
      <c r="D187" s="862"/>
      <c r="E187" s="862"/>
      <c r="F187" s="862"/>
      <c r="G187" s="162"/>
      <c r="H187" s="7"/>
      <c r="I187" s="7"/>
    </row>
    <row r="188" spans="1:9" ht="15.75" x14ac:dyDescent="0.25">
      <c r="A188" s="7"/>
      <c r="B188" s="7"/>
      <c r="C188" s="7"/>
      <c r="D188" s="160">
        <f>D180</f>
        <v>0.26719999999999999</v>
      </c>
      <c r="E188" s="7"/>
      <c r="F188" s="7"/>
      <c r="G188" s="162"/>
      <c r="H188" s="7"/>
      <c r="I188" s="7"/>
    </row>
    <row r="189" spans="1:9" ht="3.6" customHeight="1" x14ac:dyDescent="0.25">
      <c r="A189" s="795" t="s">
        <v>21</v>
      </c>
      <c r="B189" s="818" t="s">
        <v>11</v>
      </c>
      <c r="C189" s="343"/>
      <c r="D189" s="795" t="s">
        <v>14</v>
      </c>
      <c r="E189" s="795" t="s">
        <v>90</v>
      </c>
      <c r="F189" s="795" t="s">
        <v>6</v>
      </c>
      <c r="G189" s="162"/>
      <c r="H189" s="7"/>
      <c r="I189" s="7"/>
    </row>
    <row r="190" spans="1:9" ht="24" customHeight="1" x14ac:dyDescent="0.25">
      <c r="A190" s="795"/>
      <c r="B190" s="819"/>
      <c r="C190" s="343"/>
      <c r="D190" s="795"/>
      <c r="E190" s="795"/>
      <c r="F190" s="795"/>
      <c r="G190" s="162"/>
      <c r="H190" s="7"/>
      <c r="I190" s="7"/>
    </row>
    <row r="191" spans="1:9" ht="16.5" thickBot="1" x14ac:dyDescent="0.3">
      <c r="A191" s="343">
        <v>1</v>
      </c>
      <c r="B191" s="343">
        <v>2</v>
      </c>
      <c r="C191" s="343"/>
      <c r="D191" s="343">
        <v>3</v>
      </c>
      <c r="E191" s="343">
        <v>4</v>
      </c>
      <c r="F191" s="343" t="s">
        <v>304</v>
      </c>
      <c r="G191" s="162"/>
      <c r="H191" s="7"/>
      <c r="I191" s="7"/>
    </row>
    <row r="192" spans="1:9" ht="18.75" x14ac:dyDescent="0.25">
      <c r="A192" s="529" t="s">
        <v>301</v>
      </c>
      <c r="B192" s="369" t="s">
        <v>22</v>
      </c>
      <c r="C192" s="369"/>
      <c r="D192" s="469">
        <f>12*D188</f>
        <v>3.2063999999999999</v>
      </c>
      <c r="E192" s="470">
        <v>2000</v>
      </c>
      <c r="F192" s="431">
        <f>D192*E192</f>
        <v>6412.8</v>
      </c>
      <c r="G192" s="162"/>
      <c r="H192" s="7"/>
      <c r="I192" s="7"/>
    </row>
    <row r="193" spans="1:9" ht="18.75" x14ac:dyDescent="0.25">
      <c r="A193" s="530" t="s">
        <v>181</v>
      </c>
      <c r="B193" s="343" t="str">
        <f>'инновации+добровольчество0,3664'!B232</f>
        <v>договор</v>
      </c>
      <c r="C193" s="343"/>
      <c r="D193" s="152">
        <f>2*D188</f>
        <v>0.53439999999999999</v>
      </c>
      <c r="E193" s="403">
        <v>39000</v>
      </c>
      <c r="F193" s="431">
        <f>D193*E193</f>
        <v>20841.599999999999</v>
      </c>
      <c r="G193" s="162"/>
      <c r="H193" s="7"/>
      <c r="I193" s="7"/>
    </row>
    <row r="194" spans="1:9" ht="18.75" x14ac:dyDescent="0.25">
      <c r="A194" s="530" t="s">
        <v>202</v>
      </c>
      <c r="B194" s="343" t="str">
        <f>'инновации+добровольчество0,3664'!B233</f>
        <v>договор</v>
      </c>
      <c r="C194" s="343"/>
      <c r="D194" s="152">
        <f>D188</f>
        <v>0.26719999999999999</v>
      </c>
      <c r="E194" s="403">
        <v>6602.4</v>
      </c>
      <c r="F194" s="431">
        <f t="shared" ref="F194:F213" si="8">D194*E194</f>
        <v>1764.1612799999998</v>
      </c>
      <c r="G194" s="162"/>
      <c r="H194" s="7"/>
      <c r="I194" s="7"/>
    </row>
    <row r="195" spans="1:9" ht="18.75" x14ac:dyDescent="0.25">
      <c r="A195" s="530" t="s">
        <v>302</v>
      </c>
      <c r="B195" s="343" t="str">
        <f>'инновации+добровольчество0,3664'!B234</f>
        <v>договор</v>
      </c>
      <c r="C195" s="343"/>
      <c r="D195" s="152">
        <f>12*D188</f>
        <v>3.2063999999999999</v>
      </c>
      <c r="E195" s="403">
        <v>3000</v>
      </c>
      <c r="F195" s="431">
        <f t="shared" si="8"/>
        <v>9619.1999999999989</v>
      </c>
      <c r="G195" s="162"/>
      <c r="H195" s="7"/>
      <c r="I195" s="7"/>
    </row>
    <row r="196" spans="1:9" ht="37.5" x14ac:dyDescent="0.25">
      <c r="A196" s="530" t="s">
        <v>108</v>
      </c>
      <c r="B196" s="343" t="str">
        <f>'инновации+добровольчество0,3664'!B235</f>
        <v>договор</v>
      </c>
      <c r="C196" s="343"/>
      <c r="D196" s="152">
        <f>D188</f>
        <v>0.26719999999999999</v>
      </c>
      <c r="E196" s="403">
        <v>70000</v>
      </c>
      <c r="F196" s="431">
        <f t="shared" si="8"/>
        <v>18704</v>
      </c>
      <c r="G196" s="162"/>
      <c r="H196" s="7"/>
      <c r="I196" s="7"/>
    </row>
    <row r="197" spans="1:9" ht="18.75" x14ac:dyDescent="0.25">
      <c r="A197" s="530" t="s">
        <v>209</v>
      </c>
      <c r="B197" s="343" t="str">
        <f>'инновации+добровольчество0,3664'!B236</f>
        <v>договор</v>
      </c>
      <c r="C197" s="343"/>
      <c r="D197" s="152">
        <f>210*D188</f>
        <v>56.112000000000002</v>
      </c>
      <c r="E197" s="403">
        <v>217.3</v>
      </c>
      <c r="F197" s="431">
        <f t="shared" si="8"/>
        <v>12193.137600000002</v>
      </c>
      <c r="G197" s="162"/>
      <c r="H197" s="7"/>
      <c r="I197" s="7"/>
    </row>
    <row r="198" spans="1:9" ht="18.75" x14ac:dyDescent="0.25">
      <c r="A198" s="530" t="s">
        <v>255</v>
      </c>
      <c r="B198" s="343" t="str">
        <f>'инновации+добровольчество0,3664'!B237</f>
        <v>договор</v>
      </c>
      <c r="C198" s="343"/>
      <c r="D198" s="402">
        <f>12*D188</f>
        <v>3.2063999999999999</v>
      </c>
      <c r="E198" s="174">
        <v>1000</v>
      </c>
      <c r="F198" s="431">
        <f t="shared" si="8"/>
        <v>3206.4</v>
      </c>
      <c r="G198" s="162"/>
      <c r="H198" s="7"/>
      <c r="I198" s="7"/>
    </row>
    <row r="199" spans="1:9" ht="19.5" thickBot="1" x14ac:dyDescent="0.3">
      <c r="A199" s="531" t="s">
        <v>303</v>
      </c>
      <c r="B199" s="343" t="str">
        <f>'инновации+добровольчество0,3664'!B238</f>
        <v>договор</v>
      </c>
      <c r="C199" s="343"/>
      <c r="D199" s="429">
        <f>10*D188</f>
        <v>2.6719999999999997</v>
      </c>
      <c r="E199" s="430">
        <v>61.46</v>
      </c>
      <c r="F199" s="431">
        <f t="shared" si="8"/>
        <v>164.22111999999998</v>
      </c>
      <c r="G199" s="162"/>
      <c r="H199" s="7"/>
      <c r="I199" s="7"/>
    </row>
    <row r="200" spans="1:9" ht="18.75" x14ac:dyDescent="0.25">
      <c r="A200" s="533" t="s">
        <v>324</v>
      </c>
      <c r="B200" s="496" t="str">
        <f>'инновации+добровольчество0,3664'!B240</f>
        <v>договор</v>
      </c>
      <c r="C200" s="496"/>
      <c r="D200" s="429">
        <f>2*D188</f>
        <v>0.53439999999999999</v>
      </c>
      <c r="E200" s="537">
        <v>5000</v>
      </c>
      <c r="F200" s="497">
        <f t="shared" si="8"/>
        <v>2672</v>
      </c>
      <c r="G200" s="162"/>
      <c r="H200" s="7"/>
      <c r="I200" s="7"/>
    </row>
    <row r="201" spans="1:9" ht="18.75" x14ac:dyDescent="0.25">
      <c r="A201" s="534" t="s">
        <v>195</v>
      </c>
      <c r="B201" s="496" t="str">
        <f>'инновации+добровольчество0,3664'!B241</f>
        <v>договор</v>
      </c>
      <c r="C201" s="496"/>
      <c r="D201" s="429">
        <f>1*D188</f>
        <v>0.26719999999999999</v>
      </c>
      <c r="E201" s="527">
        <v>850</v>
      </c>
      <c r="F201" s="497">
        <f t="shared" si="8"/>
        <v>227.12</v>
      </c>
      <c r="G201" s="162"/>
      <c r="H201" s="7"/>
      <c r="I201" s="7"/>
    </row>
    <row r="202" spans="1:9" ht="18.75" x14ac:dyDescent="0.25">
      <c r="A202" s="534" t="s">
        <v>435</v>
      </c>
      <c r="B202" s="496" t="str">
        <f>'инновации+добровольчество0,3664'!B242</f>
        <v>договор</v>
      </c>
      <c r="C202" s="496"/>
      <c r="D202" s="429">
        <f>1*D188</f>
        <v>0.26719999999999999</v>
      </c>
      <c r="E202" s="527">
        <v>16800</v>
      </c>
      <c r="F202" s="497">
        <f t="shared" si="8"/>
        <v>4488.96</v>
      </c>
      <c r="G202" s="162"/>
      <c r="H202" s="7"/>
      <c r="I202" s="7"/>
    </row>
    <row r="203" spans="1:9" ht="18.75" x14ac:dyDescent="0.25">
      <c r="A203" s="534" t="s">
        <v>436</v>
      </c>
      <c r="B203" s="496" t="str">
        <f>'инновации+добровольчество0,3664'!B243</f>
        <v>договор</v>
      </c>
      <c r="C203" s="496"/>
      <c r="D203" s="429">
        <f>1*D188</f>
        <v>0.26719999999999999</v>
      </c>
      <c r="E203" s="527">
        <v>6600</v>
      </c>
      <c r="F203" s="497">
        <f t="shared" si="8"/>
        <v>1763.52</v>
      </c>
      <c r="G203" s="162"/>
      <c r="H203" s="7"/>
      <c r="I203" s="7"/>
    </row>
    <row r="204" spans="1:9" ht="18.75" x14ac:dyDescent="0.25">
      <c r="A204" s="534" t="s">
        <v>325</v>
      </c>
      <c r="B204" s="496" t="str">
        <f>'инновации+добровольчество0,3664'!B244</f>
        <v>договор</v>
      </c>
      <c r="C204" s="496"/>
      <c r="D204" s="429">
        <f>1*D188</f>
        <v>0.26719999999999999</v>
      </c>
      <c r="E204" s="527">
        <v>6600</v>
      </c>
      <c r="F204" s="497">
        <f t="shared" si="8"/>
        <v>1763.52</v>
      </c>
      <c r="G204" s="162"/>
      <c r="H204" s="7"/>
      <c r="I204" s="7"/>
    </row>
    <row r="205" spans="1:9" ht="18.75" x14ac:dyDescent="0.25">
      <c r="A205" s="534" t="s">
        <v>305</v>
      </c>
      <c r="B205" s="343" t="str">
        <f>'инновации+добровольчество0,3664'!B240</f>
        <v>договор</v>
      </c>
      <c r="C205" s="343"/>
      <c r="D205" s="429">
        <f>420*D188</f>
        <v>112.224</v>
      </c>
      <c r="E205" s="527">
        <v>85</v>
      </c>
      <c r="F205" s="450">
        <f t="shared" si="8"/>
        <v>9539.0400000000009</v>
      </c>
      <c r="G205" s="162"/>
      <c r="H205" s="7"/>
      <c r="I205" s="7"/>
    </row>
    <row r="206" spans="1:9" ht="18.75" x14ac:dyDescent="0.25">
      <c r="A206" s="534" t="s">
        <v>200</v>
      </c>
      <c r="B206" s="343" t="str">
        <f>'инновации+добровольчество0,3664'!B241</f>
        <v>договор</v>
      </c>
      <c r="C206" s="343"/>
      <c r="D206" s="429">
        <f>12*D188</f>
        <v>3.2063999999999999</v>
      </c>
      <c r="E206" s="527">
        <v>8000</v>
      </c>
      <c r="F206" s="370">
        <f t="shared" si="8"/>
        <v>25651.200000000001</v>
      </c>
      <c r="G206" s="162"/>
      <c r="H206" s="7"/>
      <c r="I206" s="7"/>
    </row>
    <row r="207" spans="1:9" ht="37.5" x14ac:dyDescent="0.25">
      <c r="A207" s="534" t="s">
        <v>201</v>
      </c>
      <c r="B207" s="343" t="str">
        <f>'инновации+добровольчество0,3664'!B242</f>
        <v>договор</v>
      </c>
      <c r="C207" s="343"/>
      <c r="D207" s="429">
        <f>12*D188</f>
        <v>3.2063999999999999</v>
      </c>
      <c r="E207" s="527">
        <v>5000</v>
      </c>
      <c r="F207" s="356">
        <f t="shared" si="8"/>
        <v>16032</v>
      </c>
      <c r="G207" s="162"/>
      <c r="H207" s="7"/>
      <c r="I207" s="7"/>
    </row>
    <row r="208" spans="1:9" ht="18.75" x14ac:dyDescent="0.25">
      <c r="A208" s="534" t="s">
        <v>256</v>
      </c>
      <c r="B208" s="343" t="str">
        <f>'инновации+добровольчество0,3664'!B243</f>
        <v>договор</v>
      </c>
      <c r="C208" s="343"/>
      <c r="D208" s="429">
        <f>4*D188</f>
        <v>1.0688</v>
      </c>
      <c r="E208" s="527">
        <v>3800</v>
      </c>
      <c r="F208" s="356">
        <f t="shared" si="8"/>
        <v>4061.44</v>
      </c>
      <c r="G208" s="162"/>
      <c r="H208" s="7"/>
      <c r="I208" s="7"/>
    </row>
    <row r="209" spans="1:9" ht="18.75" x14ac:dyDescent="0.25">
      <c r="A209" s="535" t="s">
        <v>203</v>
      </c>
      <c r="B209" s="343" t="str">
        <f>'инновации+добровольчество0,3664'!B244</f>
        <v>договор</v>
      </c>
      <c r="C209" s="343"/>
      <c r="D209" s="429">
        <f>1*D188</f>
        <v>0.26719999999999999</v>
      </c>
      <c r="E209" s="527">
        <v>5500</v>
      </c>
      <c r="F209" s="356">
        <f t="shared" si="8"/>
        <v>1469.6</v>
      </c>
      <c r="G209" s="162"/>
      <c r="H209" s="7"/>
      <c r="I209" s="7"/>
    </row>
    <row r="210" spans="1:9" ht="37.5" x14ac:dyDescent="0.25">
      <c r="A210" s="534" t="s">
        <v>257</v>
      </c>
      <c r="B210" s="343" t="str">
        <f>'инновации+добровольчество0,3664'!B245</f>
        <v>договор</v>
      </c>
      <c r="C210" s="343"/>
      <c r="D210" s="429">
        <f>1*D188</f>
        <v>0.26719999999999999</v>
      </c>
      <c r="E210" s="538">
        <v>15765</v>
      </c>
      <c r="F210" s="356">
        <f t="shared" si="8"/>
        <v>4212.4079999999994</v>
      </c>
      <c r="G210" s="162"/>
      <c r="H210" s="7"/>
      <c r="I210" s="7"/>
    </row>
    <row r="211" spans="1:9" ht="18.75" x14ac:dyDescent="0.25">
      <c r="A211" s="534" t="s">
        <v>258</v>
      </c>
      <c r="B211" s="343" t="str">
        <f>'инновации+добровольчество0,3664'!B246</f>
        <v>договор</v>
      </c>
      <c r="C211" s="343"/>
      <c r="D211" s="429">
        <f>1*D188</f>
        <v>0.26719999999999999</v>
      </c>
      <c r="E211" s="538">
        <v>14000</v>
      </c>
      <c r="F211" s="356">
        <f t="shared" si="8"/>
        <v>3740.7999999999997</v>
      </c>
      <c r="G211" s="162"/>
      <c r="H211" s="7"/>
      <c r="I211" s="7"/>
    </row>
    <row r="212" spans="1:9" ht="18.75" x14ac:dyDescent="0.25">
      <c r="A212" s="534" t="s">
        <v>306</v>
      </c>
      <c r="B212" s="343" t="str">
        <f>'инновации+добровольчество0,3664'!B247</f>
        <v>договор</v>
      </c>
      <c r="C212" s="343"/>
      <c r="D212" s="429">
        <f>2*D188</f>
        <v>0.53439999999999999</v>
      </c>
      <c r="E212" s="538">
        <v>8267.5</v>
      </c>
      <c r="F212" s="356">
        <f t="shared" si="8"/>
        <v>4418.152</v>
      </c>
      <c r="G212" s="162"/>
      <c r="H212" s="7"/>
      <c r="I212" s="7"/>
    </row>
    <row r="213" spans="1:9" ht="19.5" thickBot="1" x14ac:dyDescent="0.3">
      <c r="A213" s="536" t="s">
        <v>326</v>
      </c>
      <c r="B213" s="343" t="str">
        <f>'инновации+добровольчество0,3664'!B248</f>
        <v>договор</v>
      </c>
      <c r="C213" s="343"/>
      <c r="D213" s="429">
        <f>5*D188</f>
        <v>1.3359999999999999</v>
      </c>
      <c r="E213" s="539">
        <v>90</v>
      </c>
      <c r="F213" s="356">
        <f t="shared" si="8"/>
        <v>120.23999999999998</v>
      </c>
      <c r="G213" s="162"/>
      <c r="H213" s="7"/>
      <c r="I213" s="7"/>
    </row>
    <row r="214" spans="1:9" ht="18.75" x14ac:dyDescent="0.25">
      <c r="A214" s="800" t="s">
        <v>23</v>
      </c>
      <c r="B214" s="801"/>
      <c r="C214" s="801"/>
      <c r="D214" s="801"/>
      <c r="E214" s="802"/>
      <c r="F214" s="283">
        <f>SUM(F192:F213)</f>
        <v>153065.51999999999</v>
      </c>
      <c r="G214" s="162"/>
      <c r="H214" s="7"/>
      <c r="I214" s="7"/>
    </row>
    <row r="215" spans="1:9" ht="15.75" x14ac:dyDescent="0.25">
      <c r="A215" s="832"/>
      <c r="B215" s="833"/>
      <c r="C215" s="833"/>
      <c r="D215" s="833"/>
      <c r="E215" s="833"/>
      <c r="F215" s="834"/>
      <c r="G215" s="162"/>
      <c r="H215" s="7"/>
      <c r="I215" s="7"/>
    </row>
    <row r="216" spans="1:9" ht="15.75" x14ac:dyDescent="0.25">
      <c r="A216" s="835">
        <f>D188</f>
        <v>0.26719999999999999</v>
      </c>
      <c r="B216" s="836"/>
      <c r="C216" s="836"/>
      <c r="D216" s="836"/>
      <c r="E216" s="836"/>
      <c r="F216" s="837"/>
      <c r="G216" s="162"/>
      <c r="H216" s="7"/>
      <c r="I216" s="7"/>
    </row>
    <row r="217" spans="1:9" ht="15.75" x14ac:dyDescent="0.25">
      <c r="A217" s="646" t="s">
        <v>30</v>
      </c>
      <c r="B217" s="697" t="s">
        <v>11</v>
      </c>
      <c r="C217" s="324"/>
      <c r="D217" s="646" t="s">
        <v>14</v>
      </c>
      <c r="E217" s="646" t="s">
        <v>15</v>
      </c>
      <c r="F217" s="646" t="s">
        <v>6</v>
      </c>
      <c r="G217" s="162"/>
      <c r="H217" s="7"/>
      <c r="I217" s="7"/>
    </row>
    <row r="218" spans="1:9" ht="3" customHeight="1" x14ac:dyDescent="0.25">
      <c r="A218" s="646"/>
      <c r="B218" s="698"/>
      <c r="C218" s="324"/>
      <c r="D218" s="646"/>
      <c r="E218" s="646"/>
      <c r="F218" s="646"/>
      <c r="G218" s="162"/>
      <c r="H218" s="7"/>
      <c r="I218" s="7"/>
    </row>
    <row r="219" spans="1:9" ht="15.75" x14ac:dyDescent="0.25">
      <c r="A219" s="324">
        <v>1</v>
      </c>
      <c r="B219" s="324">
        <v>2</v>
      </c>
      <c r="C219" s="324"/>
      <c r="D219" s="324">
        <v>3</v>
      </c>
      <c r="E219" s="324">
        <v>7</v>
      </c>
      <c r="F219" s="324" t="s">
        <v>175</v>
      </c>
      <c r="G219" s="162"/>
      <c r="H219" s="7"/>
      <c r="I219" s="7"/>
    </row>
    <row r="220" spans="1:9" ht="17.25" thickBot="1" x14ac:dyDescent="0.3">
      <c r="A220" s="432" t="s">
        <v>327</v>
      </c>
      <c r="B220" s="362" t="s">
        <v>307</v>
      </c>
      <c r="C220" s="362"/>
      <c r="D220" s="444">
        <f>2*A216</f>
        <v>0.53439999999999999</v>
      </c>
      <c r="E220" s="435">
        <v>5000</v>
      </c>
      <c r="F220" s="364">
        <f t="shared" ref="F220:F221" si="9">D220*E220</f>
        <v>2672</v>
      </c>
      <c r="G220" s="162"/>
      <c r="H220" s="7"/>
      <c r="I220" s="7"/>
    </row>
    <row r="221" spans="1:9" ht="17.25" thickBot="1" x14ac:dyDescent="0.3">
      <c r="A221" s="471" t="s">
        <v>328</v>
      </c>
      <c r="B221" s="362" t="s">
        <v>307</v>
      </c>
      <c r="C221" s="362"/>
      <c r="D221" s="444">
        <f>3*A216</f>
        <v>0.80159999999999998</v>
      </c>
      <c r="E221" s="435">
        <v>20000</v>
      </c>
      <c r="F221" s="364">
        <f t="shared" si="9"/>
        <v>16032</v>
      </c>
      <c r="G221" s="162"/>
      <c r="H221" s="7"/>
      <c r="I221" s="7"/>
    </row>
    <row r="222" spans="1:9" ht="16.5" x14ac:dyDescent="0.25">
      <c r="A222" s="406" t="s">
        <v>259</v>
      </c>
      <c r="B222" s="83" t="s">
        <v>84</v>
      </c>
      <c r="C222" s="324"/>
      <c r="D222" s="434">
        <f>7*A216</f>
        <v>1.8704000000000001</v>
      </c>
      <c r="E222" s="410">
        <v>17285.71</v>
      </c>
      <c r="F222" s="327">
        <f>D222*E222+0.01</f>
        <v>32331.201983999999</v>
      </c>
      <c r="G222" s="162"/>
      <c r="H222" s="7"/>
      <c r="I222" s="7"/>
    </row>
    <row r="223" spans="1:9" ht="16.5" x14ac:dyDescent="0.25">
      <c r="A223" s="406" t="s">
        <v>260</v>
      </c>
      <c r="B223" s="83" t="s">
        <v>84</v>
      </c>
      <c r="C223" s="324"/>
      <c r="D223" s="434">
        <f>5*A216</f>
        <v>1.3359999999999999</v>
      </c>
      <c r="E223" s="410">
        <v>1500</v>
      </c>
      <c r="F223" s="327">
        <f>D223*E223</f>
        <v>2003.9999999999998</v>
      </c>
      <c r="G223" s="162"/>
      <c r="H223" s="7"/>
      <c r="I223" s="7"/>
    </row>
    <row r="224" spans="1:9" ht="16.5" x14ac:dyDescent="0.25">
      <c r="A224" s="406" t="s">
        <v>261</v>
      </c>
      <c r="B224" s="83" t="s">
        <v>84</v>
      </c>
      <c r="C224" s="324"/>
      <c r="D224" s="434">
        <f>5*A216</f>
        <v>1.3359999999999999</v>
      </c>
      <c r="E224" s="410">
        <v>4500</v>
      </c>
      <c r="F224" s="327">
        <f t="shared" ref="F224:F292" si="10">D224*E224</f>
        <v>6011.9999999999991</v>
      </c>
      <c r="G224" s="162"/>
      <c r="H224" s="7"/>
      <c r="I224" s="7"/>
    </row>
    <row r="225" spans="1:9" ht="16.5" x14ac:dyDescent="0.25">
      <c r="A225" s="406" t="s">
        <v>262</v>
      </c>
      <c r="B225" s="83" t="s">
        <v>84</v>
      </c>
      <c r="C225" s="324"/>
      <c r="D225" s="434">
        <f>2*A216</f>
        <v>0.53439999999999999</v>
      </c>
      <c r="E225" s="410">
        <v>13000</v>
      </c>
      <c r="F225" s="327">
        <f t="shared" ref="F225" si="11">D225*E225</f>
        <v>6947.2</v>
      </c>
      <c r="G225" s="162"/>
      <c r="H225" s="7"/>
      <c r="I225" s="7"/>
    </row>
    <row r="226" spans="1:9" ht="16.5" x14ac:dyDescent="0.25">
      <c r="A226" s="407" t="s">
        <v>263</v>
      </c>
      <c r="B226" s="83" t="s">
        <v>84</v>
      </c>
      <c r="C226" s="324"/>
      <c r="D226" s="434">
        <f>7*A216</f>
        <v>1.8704000000000001</v>
      </c>
      <c r="E226" s="411">
        <v>1000</v>
      </c>
      <c r="F226" s="327">
        <f t="shared" si="10"/>
        <v>1870.4</v>
      </c>
      <c r="G226" s="162"/>
      <c r="H226" s="7"/>
      <c r="I226" s="7"/>
    </row>
    <row r="227" spans="1:9" ht="16.5" x14ac:dyDescent="0.25">
      <c r="A227" s="407" t="s">
        <v>264</v>
      </c>
      <c r="B227" s="83" t="s">
        <v>84</v>
      </c>
      <c r="C227" s="324"/>
      <c r="D227" s="434">
        <f>5*A216</f>
        <v>1.3359999999999999</v>
      </c>
      <c r="E227" s="411">
        <v>2100</v>
      </c>
      <c r="F227" s="327">
        <f t="shared" si="10"/>
        <v>2805.6</v>
      </c>
      <c r="G227" s="162"/>
      <c r="H227" s="7"/>
      <c r="I227" s="7"/>
    </row>
    <row r="228" spans="1:9" ht="16.5" x14ac:dyDescent="0.25">
      <c r="A228" s="406" t="s">
        <v>265</v>
      </c>
      <c r="B228" s="83" t="s">
        <v>84</v>
      </c>
      <c r="C228" s="324"/>
      <c r="D228" s="434">
        <f>4*A216</f>
        <v>1.0688</v>
      </c>
      <c r="E228" s="410">
        <v>500</v>
      </c>
      <c r="F228" s="327">
        <f t="shared" si="10"/>
        <v>534.4</v>
      </c>
      <c r="G228" s="162"/>
      <c r="H228" s="7"/>
      <c r="I228" s="7"/>
    </row>
    <row r="229" spans="1:9" ht="16.5" x14ac:dyDescent="0.25">
      <c r="A229" s="406" t="s">
        <v>266</v>
      </c>
      <c r="B229" s="83" t="s">
        <v>84</v>
      </c>
      <c r="C229" s="324"/>
      <c r="D229" s="434">
        <f>100*A216</f>
        <v>26.72</v>
      </c>
      <c r="E229" s="410">
        <v>100</v>
      </c>
      <c r="F229" s="327">
        <f t="shared" si="10"/>
        <v>2672</v>
      </c>
      <c r="G229" s="162"/>
      <c r="H229" s="7"/>
      <c r="I229" s="7"/>
    </row>
    <row r="230" spans="1:9" ht="16.5" x14ac:dyDescent="0.25">
      <c r="A230" s="406" t="s">
        <v>207</v>
      </c>
      <c r="B230" s="83" t="s">
        <v>84</v>
      </c>
      <c r="C230" s="324"/>
      <c r="D230" s="434">
        <f>15*A216</f>
        <v>4.008</v>
      </c>
      <c r="E230" s="410">
        <v>250</v>
      </c>
      <c r="F230" s="327">
        <f t="shared" si="10"/>
        <v>1002</v>
      </c>
      <c r="G230" s="162"/>
      <c r="H230" s="7"/>
      <c r="I230" s="7"/>
    </row>
    <row r="231" spans="1:9" ht="16.5" x14ac:dyDescent="0.25">
      <c r="A231" s="406" t="s">
        <v>206</v>
      </c>
      <c r="B231" s="83" t="s">
        <v>84</v>
      </c>
      <c r="C231" s="324"/>
      <c r="D231" s="434">
        <f>100*A216</f>
        <v>26.72</v>
      </c>
      <c r="E231" s="410">
        <v>25</v>
      </c>
      <c r="F231" s="327">
        <f t="shared" si="10"/>
        <v>668</v>
      </c>
      <c r="G231" s="162"/>
      <c r="H231" s="7"/>
      <c r="I231" s="7"/>
    </row>
    <row r="232" spans="1:9" ht="16.5" x14ac:dyDescent="0.25">
      <c r="A232" s="406" t="s">
        <v>267</v>
      </c>
      <c r="B232" s="83" t="s">
        <v>84</v>
      </c>
      <c r="C232" s="324"/>
      <c r="D232" s="434">
        <f>40*A216</f>
        <v>10.687999999999999</v>
      </c>
      <c r="E232" s="410">
        <v>40</v>
      </c>
      <c r="F232" s="327">
        <f t="shared" si="10"/>
        <v>427.52</v>
      </c>
      <c r="G232" s="162"/>
      <c r="H232" s="7"/>
      <c r="I232" s="7"/>
    </row>
    <row r="233" spans="1:9" ht="16.5" x14ac:dyDescent="0.25">
      <c r="A233" s="406" t="s">
        <v>268</v>
      </c>
      <c r="B233" s="83" t="s">
        <v>84</v>
      </c>
      <c r="C233" s="324"/>
      <c r="D233" s="434">
        <f>20*A216</f>
        <v>5.3439999999999994</v>
      </c>
      <c r="E233" s="410">
        <v>1000</v>
      </c>
      <c r="F233" s="327">
        <f t="shared" si="10"/>
        <v>5343.9999999999991</v>
      </c>
      <c r="G233" s="162"/>
      <c r="H233" s="7"/>
      <c r="I233" s="7"/>
    </row>
    <row r="234" spans="1:9" ht="16.5" x14ac:dyDescent="0.25">
      <c r="A234" s="407" t="s">
        <v>269</v>
      </c>
      <c r="B234" s="83" t="s">
        <v>84</v>
      </c>
      <c r="C234" s="324"/>
      <c r="D234" s="434">
        <f>30*A216</f>
        <v>8.016</v>
      </c>
      <c r="E234" s="410">
        <v>1300</v>
      </c>
      <c r="F234" s="327">
        <f t="shared" ref="F234:F235" si="12">D234*E234</f>
        <v>10420.799999999999</v>
      </c>
      <c r="G234" s="162"/>
      <c r="H234" s="7"/>
      <c r="I234" s="7"/>
    </row>
    <row r="235" spans="1:9" ht="16.5" x14ac:dyDescent="0.25">
      <c r="A235" s="407" t="s">
        <v>273</v>
      </c>
      <c r="B235" s="83" t="s">
        <v>84</v>
      </c>
      <c r="C235" s="324"/>
      <c r="D235" s="434">
        <f>A216*20</f>
        <v>5.3439999999999994</v>
      </c>
      <c r="E235" s="410">
        <v>300</v>
      </c>
      <c r="F235" s="327">
        <f t="shared" si="12"/>
        <v>1603.1999999999998</v>
      </c>
      <c r="G235" s="162"/>
      <c r="H235" s="7"/>
      <c r="I235" s="7"/>
    </row>
    <row r="236" spans="1:9" ht="16.5" x14ac:dyDescent="0.25">
      <c r="A236" s="407" t="s">
        <v>274</v>
      </c>
      <c r="B236" s="83" t="s">
        <v>84</v>
      </c>
      <c r="C236" s="324"/>
      <c r="D236" s="434">
        <f>5*A216</f>
        <v>1.3359999999999999</v>
      </c>
      <c r="E236" s="410">
        <v>3500</v>
      </c>
      <c r="F236" s="327">
        <f t="shared" si="10"/>
        <v>4675.9999999999991</v>
      </c>
      <c r="G236" s="162"/>
      <c r="H236" s="7"/>
      <c r="I236" s="7"/>
    </row>
    <row r="237" spans="1:9" ht="16.5" x14ac:dyDescent="0.25">
      <c r="A237" s="407" t="s">
        <v>275</v>
      </c>
      <c r="B237" s="83" t="s">
        <v>84</v>
      </c>
      <c r="C237" s="324"/>
      <c r="D237" s="434">
        <f>20*A216</f>
        <v>5.3439999999999994</v>
      </c>
      <c r="E237" s="410">
        <v>811</v>
      </c>
      <c r="F237" s="327">
        <f t="shared" si="10"/>
        <v>4333.9839999999995</v>
      </c>
      <c r="G237" s="162"/>
      <c r="H237" s="7"/>
      <c r="I237" s="7"/>
    </row>
    <row r="238" spans="1:9" ht="16.5" x14ac:dyDescent="0.25">
      <c r="A238" s="407" t="s">
        <v>276</v>
      </c>
      <c r="B238" s="83" t="s">
        <v>84</v>
      </c>
      <c r="C238" s="324"/>
      <c r="D238" s="434">
        <f>50*A216</f>
        <v>13.36</v>
      </c>
      <c r="E238" s="410">
        <v>100</v>
      </c>
      <c r="F238" s="327">
        <f t="shared" si="10"/>
        <v>1336</v>
      </c>
      <c r="G238" s="162"/>
      <c r="H238" s="7"/>
      <c r="I238" s="7"/>
    </row>
    <row r="239" spans="1:9" ht="16.5" x14ac:dyDescent="0.25">
      <c r="A239" s="407" t="s">
        <v>277</v>
      </c>
      <c r="B239" s="83" t="s">
        <v>84</v>
      </c>
      <c r="C239" s="324"/>
      <c r="D239" s="434">
        <f>5*A216</f>
        <v>1.3359999999999999</v>
      </c>
      <c r="E239" s="410">
        <v>301</v>
      </c>
      <c r="F239" s="327">
        <f t="shared" si="10"/>
        <v>402.13599999999997</v>
      </c>
      <c r="G239" s="162"/>
      <c r="H239" s="7"/>
      <c r="I239" s="7"/>
    </row>
    <row r="240" spans="1:9" ht="16.5" x14ac:dyDescent="0.25">
      <c r="A240" s="407" t="s">
        <v>278</v>
      </c>
      <c r="B240" s="83" t="s">
        <v>84</v>
      </c>
      <c r="C240" s="324"/>
      <c r="D240" s="434">
        <f>30*A216</f>
        <v>8.016</v>
      </c>
      <c r="E240" s="410">
        <v>250</v>
      </c>
      <c r="F240" s="327">
        <f t="shared" si="10"/>
        <v>2004</v>
      </c>
      <c r="G240" s="162"/>
      <c r="H240" s="7"/>
      <c r="I240" s="7"/>
    </row>
    <row r="241" spans="1:9" ht="16.5" x14ac:dyDescent="0.25">
      <c r="A241" s="407" t="s">
        <v>279</v>
      </c>
      <c r="B241" s="83" t="s">
        <v>84</v>
      </c>
      <c r="C241" s="324"/>
      <c r="D241" s="434">
        <f>10*A216</f>
        <v>2.6719999999999997</v>
      </c>
      <c r="E241" s="410">
        <v>401</v>
      </c>
      <c r="F241" s="327">
        <f t="shared" si="10"/>
        <v>1071.472</v>
      </c>
      <c r="G241" s="162"/>
      <c r="H241" s="7"/>
      <c r="I241" s="7"/>
    </row>
    <row r="242" spans="1:9" ht="16.5" x14ac:dyDescent="0.25">
      <c r="A242" s="407" t="s">
        <v>280</v>
      </c>
      <c r="B242" s="83" t="s">
        <v>84</v>
      </c>
      <c r="C242" s="324"/>
      <c r="D242" s="434">
        <f>40*A216</f>
        <v>10.687999999999999</v>
      </c>
      <c r="E242" s="410">
        <v>50</v>
      </c>
      <c r="F242" s="327">
        <f t="shared" si="10"/>
        <v>534.4</v>
      </c>
      <c r="G242" s="162"/>
      <c r="H242" s="7"/>
      <c r="I242" s="7"/>
    </row>
    <row r="243" spans="1:9" ht="16.5" x14ac:dyDescent="0.25">
      <c r="A243" s="407" t="s">
        <v>281</v>
      </c>
      <c r="B243" s="83" t="s">
        <v>84</v>
      </c>
      <c r="C243" s="324"/>
      <c r="D243" s="434">
        <f>100*A216</f>
        <v>26.72</v>
      </c>
      <c r="E243" s="410">
        <v>30</v>
      </c>
      <c r="F243" s="327">
        <f t="shared" si="10"/>
        <v>801.59999999999991</v>
      </c>
      <c r="G243" s="162"/>
      <c r="H243" s="7"/>
      <c r="I243" s="7"/>
    </row>
    <row r="244" spans="1:9" ht="16.5" x14ac:dyDescent="0.25">
      <c r="A244" s="407" t="s">
        <v>282</v>
      </c>
      <c r="B244" s="83" t="s">
        <v>84</v>
      </c>
      <c r="C244" s="324"/>
      <c r="D244" s="434">
        <f>30*A216</f>
        <v>8.016</v>
      </c>
      <c r="E244" s="410">
        <v>300</v>
      </c>
      <c r="F244" s="327">
        <f t="shared" si="10"/>
        <v>2404.8000000000002</v>
      </c>
      <c r="G244" s="162"/>
      <c r="H244" s="7"/>
      <c r="I244" s="7"/>
    </row>
    <row r="245" spans="1:9" ht="16.5" x14ac:dyDescent="0.25">
      <c r="A245" s="407" t="s">
        <v>283</v>
      </c>
      <c r="B245" s="83" t="s">
        <v>84</v>
      </c>
      <c r="C245" s="324"/>
      <c r="D245" s="434">
        <f>10*A216</f>
        <v>2.6719999999999997</v>
      </c>
      <c r="E245" s="410">
        <v>210</v>
      </c>
      <c r="F245" s="327">
        <f t="shared" si="10"/>
        <v>561.11999999999989</v>
      </c>
      <c r="G245" s="162"/>
      <c r="H245" s="7"/>
      <c r="I245" s="7"/>
    </row>
    <row r="246" spans="1:9" ht="16.5" x14ac:dyDescent="0.25">
      <c r="A246" s="407" t="s">
        <v>284</v>
      </c>
      <c r="B246" s="83" t="s">
        <v>84</v>
      </c>
      <c r="C246" s="324"/>
      <c r="D246" s="434">
        <f>10*A216</f>
        <v>2.6719999999999997</v>
      </c>
      <c r="E246" s="410">
        <v>150</v>
      </c>
      <c r="F246" s="327">
        <f t="shared" si="10"/>
        <v>400.79999999999995</v>
      </c>
      <c r="G246" s="162"/>
      <c r="H246" s="7"/>
      <c r="I246" s="7"/>
    </row>
    <row r="247" spans="1:9" ht="16.5" x14ac:dyDescent="0.25">
      <c r="A247" s="407" t="s">
        <v>285</v>
      </c>
      <c r="B247" s="83" t="s">
        <v>84</v>
      </c>
      <c r="C247" s="324"/>
      <c r="D247" s="434">
        <f>100*A216</f>
        <v>26.72</v>
      </c>
      <c r="E247" s="410">
        <v>50</v>
      </c>
      <c r="F247" s="327">
        <f t="shared" si="10"/>
        <v>1336</v>
      </c>
      <c r="G247" s="162"/>
      <c r="H247" s="7"/>
      <c r="I247" s="7"/>
    </row>
    <row r="248" spans="1:9" ht="16.5" x14ac:dyDescent="0.25">
      <c r="A248" s="407" t="s">
        <v>286</v>
      </c>
      <c r="B248" s="83" t="s">
        <v>84</v>
      </c>
      <c r="C248" s="324"/>
      <c r="D248" s="434">
        <f>100*A216</f>
        <v>26.72</v>
      </c>
      <c r="E248" s="410">
        <v>30</v>
      </c>
      <c r="F248" s="327">
        <f t="shared" si="10"/>
        <v>801.59999999999991</v>
      </c>
      <c r="G248" s="162"/>
      <c r="H248" s="7"/>
      <c r="I248" s="7"/>
    </row>
    <row r="249" spans="1:9" ht="16.5" x14ac:dyDescent="0.25">
      <c r="A249" s="407" t="s">
        <v>287</v>
      </c>
      <c r="B249" s="83" t="s">
        <v>84</v>
      </c>
      <c r="C249" s="324"/>
      <c r="D249" s="434">
        <f>100*A216</f>
        <v>26.72</v>
      </c>
      <c r="E249" s="410">
        <v>100</v>
      </c>
      <c r="F249" s="327">
        <f t="shared" si="10"/>
        <v>2672</v>
      </c>
      <c r="G249" s="162"/>
      <c r="H249" s="7"/>
      <c r="I249" s="7"/>
    </row>
    <row r="250" spans="1:9" ht="16.5" x14ac:dyDescent="0.25">
      <c r="A250" s="407" t="s">
        <v>288</v>
      </c>
      <c r="B250" s="83" t="s">
        <v>84</v>
      </c>
      <c r="C250" s="324"/>
      <c r="D250" s="434">
        <f>50*A216</f>
        <v>13.36</v>
      </c>
      <c r="E250" s="410">
        <v>40</v>
      </c>
      <c r="F250" s="327">
        <f t="shared" si="10"/>
        <v>534.4</v>
      </c>
      <c r="G250" s="162"/>
      <c r="H250" s="7"/>
      <c r="I250" s="7"/>
    </row>
    <row r="251" spans="1:9" ht="16.5" x14ac:dyDescent="0.25">
      <c r="A251" s="407" t="s">
        <v>289</v>
      </c>
      <c r="B251" s="83" t="s">
        <v>84</v>
      </c>
      <c r="C251" s="324"/>
      <c r="D251" s="434">
        <f>200*A216</f>
        <v>53.44</v>
      </c>
      <c r="E251" s="410">
        <v>80</v>
      </c>
      <c r="F251" s="327">
        <f t="shared" si="10"/>
        <v>4275.2</v>
      </c>
      <c r="G251" s="162"/>
      <c r="H251" s="7"/>
      <c r="I251" s="7"/>
    </row>
    <row r="252" spans="1:9" ht="16.5" x14ac:dyDescent="0.25">
      <c r="A252" s="407" t="s">
        <v>290</v>
      </c>
      <c r="B252" s="83" t="s">
        <v>84</v>
      </c>
      <c r="C252" s="324"/>
      <c r="D252" s="434">
        <f>100*A216</f>
        <v>26.72</v>
      </c>
      <c r="E252" s="410">
        <v>300</v>
      </c>
      <c r="F252" s="327">
        <f t="shared" si="10"/>
        <v>8016</v>
      </c>
      <c r="G252" s="162"/>
      <c r="H252" s="7"/>
      <c r="I252" s="7"/>
    </row>
    <row r="253" spans="1:9" ht="16.5" x14ac:dyDescent="0.25">
      <c r="A253" s="407" t="s">
        <v>291</v>
      </c>
      <c r="B253" s="83" t="s">
        <v>84</v>
      </c>
      <c r="C253" s="324"/>
      <c r="D253" s="434">
        <f>10*A216</f>
        <v>2.6719999999999997</v>
      </c>
      <c r="E253" s="410">
        <v>400</v>
      </c>
      <c r="F253" s="327">
        <f t="shared" si="10"/>
        <v>1068.8</v>
      </c>
      <c r="G253" s="162"/>
      <c r="H253" s="7"/>
      <c r="I253" s="7"/>
    </row>
    <row r="254" spans="1:9" ht="16.5" x14ac:dyDescent="0.25">
      <c r="A254" s="407" t="s">
        <v>272</v>
      </c>
      <c r="B254" s="83" t="s">
        <v>84</v>
      </c>
      <c r="C254" s="324"/>
      <c r="D254" s="434">
        <f>20*A216</f>
        <v>5.3439999999999994</v>
      </c>
      <c r="E254" s="410">
        <v>400</v>
      </c>
      <c r="F254" s="327">
        <f t="shared" si="10"/>
        <v>2137.6</v>
      </c>
      <c r="G254" s="162"/>
      <c r="H254" s="7"/>
      <c r="I254" s="7"/>
    </row>
    <row r="255" spans="1:9" ht="16.5" x14ac:dyDescent="0.25">
      <c r="A255" s="407" t="s">
        <v>293</v>
      </c>
      <c r="B255" s="83" t="s">
        <v>84</v>
      </c>
      <c r="C255" s="324"/>
      <c r="D255" s="434">
        <f>2600*A216</f>
        <v>694.72</v>
      </c>
      <c r="E255" s="410">
        <v>50</v>
      </c>
      <c r="F255" s="327">
        <f t="shared" si="10"/>
        <v>34736</v>
      </c>
      <c r="G255" s="162"/>
      <c r="H255" s="7"/>
      <c r="I255" s="7"/>
    </row>
    <row r="256" spans="1:9" ht="16.5" hidden="1" x14ac:dyDescent="0.25">
      <c r="A256" s="433"/>
      <c r="B256" s="83"/>
      <c r="C256" s="324"/>
      <c r="D256" s="408"/>
      <c r="E256" s="434"/>
      <c r="F256" s="327"/>
      <c r="G256" s="162"/>
      <c r="H256" s="7"/>
      <c r="I256" s="7"/>
    </row>
    <row r="257" spans="1:12" ht="16.5" hidden="1" x14ac:dyDescent="0.25">
      <c r="A257" s="433"/>
      <c r="B257" s="83"/>
      <c r="C257" s="324"/>
      <c r="D257" s="434"/>
      <c r="E257" s="434"/>
      <c r="F257" s="327"/>
      <c r="G257" s="162"/>
      <c r="H257" s="7"/>
      <c r="I257" s="7"/>
    </row>
    <row r="258" spans="1:12" ht="16.5" hidden="1" x14ac:dyDescent="0.25">
      <c r="A258" s="433"/>
      <c r="B258" s="83"/>
      <c r="C258" s="324"/>
      <c r="D258" s="434"/>
      <c r="E258" s="434"/>
      <c r="F258" s="327"/>
      <c r="G258" s="162"/>
      <c r="H258" s="7"/>
      <c r="I258" s="7"/>
    </row>
    <row r="259" spans="1:12" ht="16.5" hidden="1" x14ac:dyDescent="0.25">
      <c r="A259" s="433"/>
      <c r="B259" s="83"/>
      <c r="C259" s="324"/>
      <c r="D259" s="434"/>
      <c r="E259" s="434"/>
      <c r="F259" s="327"/>
      <c r="G259" s="162"/>
      <c r="H259" s="7"/>
      <c r="I259" s="7"/>
    </row>
    <row r="260" spans="1:12" ht="16.5" hidden="1" x14ac:dyDescent="0.25">
      <c r="A260" s="433"/>
      <c r="B260" s="83"/>
      <c r="C260" s="324"/>
      <c r="D260" s="434"/>
      <c r="E260" s="434"/>
      <c r="F260" s="327"/>
      <c r="G260" s="162"/>
      <c r="H260" s="7"/>
      <c r="I260" s="7"/>
    </row>
    <row r="261" spans="1:12" ht="16.5" hidden="1" x14ac:dyDescent="0.25">
      <c r="A261" s="433"/>
      <c r="B261" s="83"/>
      <c r="C261" s="324"/>
      <c r="D261" s="434"/>
      <c r="E261" s="434"/>
      <c r="F261" s="327"/>
      <c r="G261" s="162"/>
      <c r="H261" s="7"/>
      <c r="I261" s="7"/>
    </row>
    <row r="262" spans="1:12" ht="16.5" hidden="1" x14ac:dyDescent="0.25">
      <c r="A262" s="433"/>
      <c r="B262" s="83"/>
      <c r="C262" s="324"/>
      <c r="D262" s="434"/>
      <c r="E262" s="434"/>
      <c r="F262" s="327"/>
      <c r="G262" s="162"/>
      <c r="H262" s="7"/>
      <c r="I262" s="7"/>
    </row>
    <row r="263" spans="1:12" ht="16.5" hidden="1" x14ac:dyDescent="0.25">
      <c r="A263" s="433"/>
      <c r="B263" s="83"/>
      <c r="C263" s="324"/>
      <c r="D263" s="434"/>
      <c r="E263" s="434"/>
      <c r="F263" s="327"/>
      <c r="G263" s="162"/>
      <c r="H263" s="7"/>
      <c r="I263" s="7"/>
    </row>
    <row r="264" spans="1:12" ht="16.5" hidden="1" x14ac:dyDescent="0.25">
      <c r="A264" s="433"/>
      <c r="B264" s="83"/>
      <c r="C264" s="324"/>
      <c r="D264" s="434"/>
      <c r="E264" s="434"/>
      <c r="F264" s="327"/>
      <c r="G264" s="162"/>
      <c r="H264" s="7"/>
      <c r="I264" s="7"/>
    </row>
    <row r="265" spans="1:12" ht="15.75" hidden="1" x14ac:dyDescent="0.25">
      <c r="A265" s="122">
        <f ca="1">'патриотика0,3664'!A332</f>
        <v>0</v>
      </c>
      <c r="B265" s="83" t="s">
        <v>84</v>
      </c>
      <c r="C265" s="324"/>
      <c r="D265" s="163">
        <v>0</v>
      </c>
      <c r="E265" s="347"/>
      <c r="F265" s="327">
        <f t="shared" si="10"/>
        <v>0</v>
      </c>
      <c r="G265" s="162"/>
      <c r="H265" s="7"/>
      <c r="I265" s="7"/>
    </row>
    <row r="266" spans="1:12" ht="15.75" hidden="1" x14ac:dyDescent="0.25">
      <c r="A266" s="122">
        <f ca="1">'патриотика0,3664'!A333</f>
        <v>0</v>
      </c>
      <c r="B266" s="83" t="s">
        <v>84</v>
      </c>
      <c r="C266" s="324"/>
      <c r="D266" s="163">
        <v>0</v>
      </c>
      <c r="E266" s="347"/>
      <c r="F266" s="327">
        <f t="shared" si="10"/>
        <v>0</v>
      </c>
      <c r="G266" s="162"/>
      <c r="H266" s="7"/>
      <c r="I266" s="7"/>
    </row>
    <row r="267" spans="1:12" ht="15.75" hidden="1" x14ac:dyDescent="0.25">
      <c r="A267" s="122">
        <f ca="1">'патриотика0,3664'!A334</f>
        <v>0</v>
      </c>
      <c r="B267" s="83" t="s">
        <v>84</v>
      </c>
      <c r="C267" s="324"/>
      <c r="D267" s="163">
        <v>0</v>
      </c>
      <c r="E267" s="347"/>
      <c r="F267" s="327">
        <f t="shared" si="10"/>
        <v>0</v>
      </c>
      <c r="G267" s="162"/>
      <c r="H267" s="7"/>
      <c r="I267" s="7"/>
    </row>
    <row r="268" spans="1:12" ht="15.75" hidden="1" x14ac:dyDescent="0.25">
      <c r="A268" s="122">
        <f ca="1">'патриотика0,3664'!A335</f>
        <v>0</v>
      </c>
      <c r="B268" s="83" t="s">
        <v>84</v>
      </c>
      <c r="C268" s="324"/>
      <c r="D268" s="163">
        <v>0</v>
      </c>
      <c r="E268" s="347"/>
      <c r="F268" s="327">
        <f t="shared" si="10"/>
        <v>0</v>
      </c>
      <c r="G268" s="162"/>
      <c r="H268" s="7"/>
      <c r="I268" s="7"/>
    </row>
    <row r="269" spans="1:12" ht="15.75" hidden="1" x14ac:dyDescent="0.25">
      <c r="A269" s="122">
        <f ca="1">'патриотика0,3664'!A336</f>
        <v>0</v>
      </c>
      <c r="B269" s="83" t="s">
        <v>84</v>
      </c>
      <c r="C269" s="324"/>
      <c r="D269" s="163">
        <v>0</v>
      </c>
      <c r="E269" s="347"/>
      <c r="F269" s="327">
        <f t="shared" si="10"/>
        <v>0</v>
      </c>
      <c r="G269" s="162"/>
      <c r="H269" s="7"/>
      <c r="I269" s="7"/>
    </row>
    <row r="270" spans="1:12" ht="15.75" hidden="1" x14ac:dyDescent="0.25">
      <c r="A270" s="122">
        <f ca="1">'патриотика0,3664'!A337</f>
        <v>0</v>
      </c>
      <c r="B270" s="83" t="s">
        <v>84</v>
      </c>
      <c r="C270" s="324"/>
      <c r="D270" s="163">
        <v>0</v>
      </c>
      <c r="E270" s="347"/>
      <c r="F270" s="327">
        <f t="shared" si="10"/>
        <v>0</v>
      </c>
      <c r="G270" s="162"/>
      <c r="H270" s="7"/>
      <c r="I270" s="7"/>
    </row>
    <row r="271" spans="1:12" ht="15.75" hidden="1" x14ac:dyDescent="0.25">
      <c r="A271" s="122">
        <f ca="1">'патриотика0,3664'!A338</f>
        <v>0</v>
      </c>
      <c r="B271" s="83" t="s">
        <v>84</v>
      </c>
      <c r="C271" s="324"/>
      <c r="D271" s="163">
        <v>0</v>
      </c>
      <c r="E271" s="347"/>
      <c r="F271" s="327">
        <f t="shared" si="10"/>
        <v>0</v>
      </c>
      <c r="G271" s="162"/>
      <c r="H271" s="7"/>
      <c r="I271" s="7"/>
    </row>
    <row r="272" spans="1:12" ht="15.75" hidden="1" x14ac:dyDescent="0.25">
      <c r="A272" s="122">
        <f ca="1">'патриотика0,3664'!A339</f>
        <v>0</v>
      </c>
      <c r="B272" s="83" t="s">
        <v>84</v>
      </c>
      <c r="C272" s="83">
        <v>1</v>
      </c>
      <c r="D272" s="163">
        <v>0</v>
      </c>
      <c r="E272" s="347"/>
      <c r="F272" s="327">
        <f t="shared" si="10"/>
        <v>0</v>
      </c>
      <c r="G272" s="162"/>
      <c r="H272" s="7"/>
      <c r="I272" s="7"/>
      <c r="J272" s="137"/>
      <c r="K272" s="110"/>
      <c r="L272" s="138"/>
    </row>
    <row r="273" spans="1:12" ht="15.75" hidden="1" x14ac:dyDescent="0.25">
      <c r="A273" s="122">
        <f ca="1">'патриотика0,3664'!A340</f>
        <v>0</v>
      </c>
      <c r="B273" s="83" t="s">
        <v>84</v>
      </c>
      <c r="C273" s="83">
        <v>4</v>
      </c>
      <c r="D273" s="163">
        <v>0</v>
      </c>
      <c r="E273" s="347"/>
      <c r="F273" s="327">
        <f t="shared" si="10"/>
        <v>0</v>
      </c>
      <c r="G273" s="162"/>
      <c r="H273" s="7"/>
      <c r="I273" s="7"/>
      <c r="J273" s="137"/>
      <c r="K273" s="110"/>
      <c r="L273" s="138"/>
    </row>
    <row r="274" spans="1:12" ht="15.75" hidden="1" x14ac:dyDescent="0.25">
      <c r="A274" s="122">
        <f ca="1">'патриотика0,3664'!A341</f>
        <v>0</v>
      </c>
      <c r="B274" s="83" t="s">
        <v>84</v>
      </c>
      <c r="C274" s="83">
        <v>4</v>
      </c>
      <c r="D274" s="163">
        <v>0</v>
      </c>
      <c r="E274" s="347"/>
      <c r="F274" s="327">
        <f t="shared" si="10"/>
        <v>0</v>
      </c>
      <c r="G274" s="162"/>
      <c r="H274" s="7"/>
      <c r="I274" s="7"/>
      <c r="J274" s="137"/>
      <c r="K274" s="110"/>
      <c r="L274" s="138"/>
    </row>
    <row r="275" spans="1:12" ht="15.75" hidden="1" x14ac:dyDescent="0.25">
      <c r="A275" s="122">
        <f ca="1">'патриотика0,3664'!A342</f>
        <v>0</v>
      </c>
      <c r="B275" s="83" t="s">
        <v>84</v>
      </c>
      <c r="C275" s="83">
        <v>6</v>
      </c>
      <c r="D275" s="163">
        <v>0</v>
      </c>
      <c r="E275" s="347"/>
      <c r="F275" s="327">
        <f t="shared" si="10"/>
        <v>0</v>
      </c>
      <c r="G275" s="162"/>
      <c r="H275" s="7"/>
      <c r="I275" s="7"/>
      <c r="J275" s="137"/>
      <c r="K275" s="110"/>
      <c r="L275" s="138"/>
    </row>
    <row r="276" spans="1:12" ht="15.75" hidden="1" x14ac:dyDescent="0.25">
      <c r="A276" s="122">
        <f ca="1">'патриотика0,3664'!A343</f>
        <v>0</v>
      </c>
      <c r="B276" s="83" t="s">
        <v>84</v>
      </c>
      <c r="C276" s="83">
        <v>5</v>
      </c>
      <c r="D276" s="163">
        <v>0</v>
      </c>
      <c r="E276" s="347"/>
      <c r="F276" s="327">
        <f t="shared" si="10"/>
        <v>0</v>
      </c>
      <c r="G276" s="162"/>
      <c r="H276" s="7"/>
      <c r="I276" s="7"/>
      <c r="J276" s="137"/>
      <c r="K276" s="110"/>
      <c r="L276" s="138"/>
    </row>
    <row r="277" spans="1:12" ht="15.75" hidden="1" x14ac:dyDescent="0.25">
      <c r="A277" s="122">
        <f ca="1">'патриотика0,3664'!A344</f>
        <v>0</v>
      </c>
      <c r="B277" s="83" t="s">
        <v>84</v>
      </c>
      <c r="C277" s="83">
        <v>1</v>
      </c>
      <c r="D277" s="163">
        <v>0</v>
      </c>
      <c r="E277" s="347"/>
      <c r="F277" s="327">
        <f t="shared" si="10"/>
        <v>0</v>
      </c>
      <c r="G277" s="162"/>
      <c r="H277" s="7"/>
      <c r="I277" s="7"/>
      <c r="J277" s="137"/>
      <c r="K277" s="110"/>
      <c r="L277" s="138"/>
    </row>
    <row r="278" spans="1:12" ht="15.75" hidden="1" x14ac:dyDescent="0.25">
      <c r="A278" s="122">
        <f ca="1">'патриотика0,3664'!A345</f>
        <v>0</v>
      </c>
      <c r="B278" s="83" t="s">
        <v>84</v>
      </c>
      <c r="C278" s="83">
        <v>2</v>
      </c>
      <c r="D278" s="163">
        <v>0</v>
      </c>
      <c r="E278" s="347"/>
      <c r="F278" s="327">
        <f t="shared" si="10"/>
        <v>0</v>
      </c>
      <c r="G278" s="162"/>
      <c r="H278" s="7"/>
      <c r="I278" s="7"/>
      <c r="J278" s="137"/>
      <c r="K278" s="110"/>
      <c r="L278" s="138"/>
    </row>
    <row r="279" spans="1:12" ht="15.75" hidden="1" x14ac:dyDescent="0.25">
      <c r="A279" s="122">
        <f ca="1">'патриотика0,3664'!A346</f>
        <v>0</v>
      </c>
      <c r="B279" s="83" t="s">
        <v>84</v>
      </c>
      <c r="C279" s="83">
        <v>2</v>
      </c>
      <c r="D279" s="163">
        <v>0</v>
      </c>
      <c r="E279" s="347"/>
      <c r="F279" s="327">
        <f t="shared" si="10"/>
        <v>0</v>
      </c>
      <c r="G279" s="162"/>
      <c r="H279" s="7"/>
      <c r="I279" s="7"/>
      <c r="J279" s="137"/>
      <c r="K279" s="110"/>
      <c r="L279" s="138"/>
    </row>
    <row r="280" spans="1:12" ht="15.75" hidden="1" x14ac:dyDescent="0.25">
      <c r="A280" s="122">
        <f ca="1">'патриотика0,3664'!A347</f>
        <v>0</v>
      </c>
      <c r="B280" s="83" t="s">
        <v>84</v>
      </c>
      <c r="C280" s="83">
        <v>3</v>
      </c>
      <c r="D280" s="163">
        <v>0</v>
      </c>
      <c r="E280" s="347"/>
      <c r="F280" s="327">
        <f t="shared" si="10"/>
        <v>0</v>
      </c>
      <c r="G280" s="162"/>
      <c r="H280" s="7"/>
      <c r="I280" s="7"/>
      <c r="J280" s="137"/>
      <c r="K280" s="110"/>
      <c r="L280" s="138"/>
    </row>
    <row r="281" spans="1:12" ht="15.75" hidden="1" x14ac:dyDescent="0.25">
      <c r="A281" s="122">
        <f ca="1">'патриотика0,3664'!A348</f>
        <v>0</v>
      </c>
      <c r="B281" s="83" t="s">
        <v>84</v>
      </c>
      <c r="C281" s="83">
        <v>4</v>
      </c>
      <c r="D281" s="163">
        <v>0</v>
      </c>
      <c r="E281" s="347"/>
      <c r="F281" s="327">
        <f t="shared" si="10"/>
        <v>0</v>
      </c>
      <c r="G281" s="162"/>
      <c r="H281" s="7"/>
      <c r="I281" s="7"/>
      <c r="J281" s="137"/>
      <c r="K281" s="110"/>
      <c r="L281" s="138"/>
    </row>
    <row r="282" spans="1:12" ht="13.9" hidden="1" customHeight="1" x14ac:dyDescent="0.25">
      <c r="A282" s="122">
        <f ca="1">'патриотика0,3664'!A349</f>
        <v>0</v>
      </c>
      <c r="B282" s="83" t="s">
        <v>84</v>
      </c>
      <c r="C282" s="83">
        <v>5</v>
      </c>
      <c r="D282" s="163">
        <v>0</v>
      </c>
      <c r="E282" s="347"/>
      <c r="F282" s="327">
        <f t="shared" si="10"/>
        <v>0</v>
      </c>
      <c r="G282" s="162"/>
      <c r="H282" s="7"/>
      <c r="I282" s="7"/>
      <c r="J282" s="137"/>
      <c r="K282" s="110"/>
      <c r="L282" s="138"/>
    </row>
    <row r="283" spans="1:12" ht="19.899999999999999" hidden="1" customHeight="1" x14ac:dyDescent="0.25">
      <c r="A283" s="122">
        <f ca="1">'патриотика0,3664'!A350</f>
        <v>0</v>
      </c>
      <c r="B283" s="83" t="s">
        <v>84</v>
      </c>
      <c r="C283" s="83">
        <v>6</v>
      </c>
      <c r="D283" s="163">
        <v>0</v>
      </c>
      <c r="E283" s="347"/>
      <c r="F283" s="327">
        <f t="shared" si="10"/>
        <v>0</v>
      </c>
      <c r="G283" s="162"/>
      <c r="H283" s="7"/>
      <c r="I283" s="7"/>
      <c r="J283" s="137"/>
      <c r="K283" s="110"/>
      <c r="L283" s="138"/>
    </row>
    <row r="284" spans="1:12" ht="16.899999999999999" hidden="1" customHeight="1" x14ac:dyDescent="0.25">
      <c r="A284" s="122">
        <f ca="1">'патриотика0,3664'!A351</f>
        <v>0</v>
      </c>
      <c r="B284" s="83" t="s">
        <v>84</v>
      </c>
      <c r="C284" s="83">
        <v>7</v>
      </c>
      <c r="D284" s="163">
        <v>0</v>
      </c>
      <c r="E284" s="347"/>
      <c r="F284" s="327">
        <f t="shared" si="10"/>
        <v>0</v>
      </c>
      <c r="G284" s="162"/>
      <c r="H284" s="7"/>
      <c r="I284" s="7"/>
      <c r="J284" s="137"/>
      <c r="K284" s="110"/>
      <c r="L284" s="138"/>
    </row>
    <row r="285" spans="1:12" ht="15.75" hidden="1" x14ac:dyDescent="0.25">
      <c r="A285" s="122">
        <f ca="1">'патриотика0,3664'!A352</f>
        <v>0</v>
      </c>
      <c r="B285" s="83" t="s">
        <v>84</v>
      </c>
      <c r="C285" s="83">
        <v>8</v>
      </c>
      <c r="D285" s="163">
        <v>0</v>
      </c>
      <c r="E285" s="347"/>
      <c r="F285" s="327">
        <f t="shared" si="10"/>
        <v>0</v>
      </c>
      <c r="G285" s="162"/>
      <c r="H285" s="7"/>
      <c r="I285" s="7"/>
      <c r="J285" s="137"/>
      <c r="K285" s="110"/>
      <c r="L285" s="138"/>
    </row>
    <row r="286" spans="1:12" ht="15.75" hidden="1" x14ac:dyDescent="0.25">
      <c r="A286" s="122">
        <f ca="1">'патриотика0,3664'!A353</f>
        <v>0</v>
      </c>
      <c r="B286" s="83" t="s">
        <v>84</v>
      </c>
      <c r="C286" s="83">
        <v>9</v>
      </c>
      <c r="D286" s="163">
        <v>0</v>
      </c>
      <c r="E286" s="347"/>
      <c r="F286" s="327">
        <f t="shared" si="10"/>
        <v>0</v>
      </c>
      <c r="G286" s="162"/>
      <c r="H286" s="7"/>
      <c r="I286" s="7"/>
      <c r="J286" s="137"/>
      <c r="K286" s="110"/>
      <c r="L286" s="138"/>
    </row>
    <row r="287" spans="1:12" ht="15.75" hidden="1" x14ac:dyDescent="0.25">
      <c r="A287" s="122">
        <f ca="1">'патриотика0,3664'!A354</f>
        <v>0</v>
      </c>
      <c r="B287" s="83" t="s">
        <v>84</v>
      </c>
      <c r="C287" s="83">
        <v>10</v>
      </c>
      <c r="D287" s="163">
        <v>0</v>
      </c>
      <c r="E287" s="347"/>
      <c r="F287" s="327">
        <f t="shared" si="10"/>
        <v>0</v>
      </c>
      <c r="G287" s="162"/>
      <c r="H287" s="7"/>
      <c r="I287" s="7"/>
      <c r="J287" s="137"/>
      <c r="K287" s="110"/>
      <c r="L287" s="138"/>
    </row>
    <row r="288" spans="1:12" ht="15.75" hidden="1" x14ac:dyDescent="0.25">
      <c r="A288" s="122">
        <f ca="1">'патриотика0,3664'!A355</f>
        <v>0</v>
      </c>
      <c r="B288" s="83" t="s">
        <v>84</v>
      </c>
      <c r="C288" s="83">
        <v>11</v>
      </c>
      <c r="D288" s="163">
        <v>0</v>
      </c>
      <c r="E288" s="347"/>
      <c r="F288" s="327">
        <f t="shared" si="10"/>
        <v>0</v>
      </c>
      <c r="G288" s="162"/>
      <c r="H288" s="7"/>
      <c r="I288" s="7"/>
      <c r="J288" s="137"/>
      <c r="K288" s="110"/>
      <c r="L288" s="138"/>
    </row>
    <row r="289" spans="1:12" ht="15.75" hidden="1" x14ac:dyDescent="0.25">
      <c r="A289" s="122">
        <f ca="1">'патриотика0,3664'!A356</f>
        <v>0</v>
      </c>
      <c r="B289" s="83" t="s">
        <v>84</v>
      </c>
      <c r="C289" s="83">
        <v>12</v>
      </c>
      <c r="D289" s="163">
        <v>0</v>
      </c>
      <c r="E289" s="347"/>
      <c r="F289" s="327">
        <f t="shared" si="10"/>
        <v>0</v>
      </c>
      <c r="G289" s="162"/>
      <c r="H289" s="7"/>
      <c r="I289" s="7"/>
      <c r="J289" s="137"/>
      <c r="K289" s="110"/>
      <c r="L289" s="138"/>
    </row>
    <row r="290" spans="1:12" ht="15.75" hidden="1" x14ac:dyDescent="0.25">
      <c r="A290" s="122">
        <f ca="1">'патриотика0,3664'!A357</f>
        <v>0</v>
      </c>
      <c r="B290" s="83" t="s">
        <v>84</v>
      </c>
      <c r="C290" s="83">
        <v>13</v>
      </c>
      <c r="D290" s="163">
        <v>0</v>
      </c>
      <c r="E290" s="347"/>
      <c r="F290" s="327">
        <f t="shared" si="10"/>
        <v>0</v>
      </c>
      <c r="G290" s="162"/>
      <c r="H290" s="7"/>
      <c r="I290" s="7"/>
      <c r="J290" s="137"/>
      <c r="K290" s="110"/>
      <c r="L290" s="138"/>
    </row>
    <row r="291" spans="1:12" ht="15.75" hidden="1" x14ac:dyDescent="0.25">
      <c r="A291" s="122">
        <f ca="1">'патриотика0,3664'!A358</f>
        <v>0</v>
      </c>
      <c r="B291" s="83" t="s">
        <v>84</v>
      </c>
      <c r="C291" s="83">
        <v>14</v>
      </c>
      <c r="D291" s="163">
        <v>0</v>
      </c>
      <c r="E291" s="347"/>
      <c r="F291" s="327">
        <f t="shared" si="10"/>
        <v>0</v>
      </c>
      <c r="G291" s="162"/>
      <c r="H291" s="7"/>
      <c r="I291" s="7"/>
      <c r="J291" s="137"/>
      <c r="K291" s="110"/>
      <c r="L291" s="138"/>
    </row>
    <row r="292" spans="1:12" ht="15.75" hidden="1" x14ac:dyDescent="0.25">
      <c r="A292" s="122">
        <f ca="1">'патриотика0,3664'!A359</f>
        <v>0</v>
      </c>
      <c r="B292" s="83" t="s">
        <v>84</v>
      </c>
      <c r="C292" s="83">
        <v>15</v>
      </c>
      <c r="D292" s="163">
        <v>0</v>
      </c>
      <c r="E292" s="347"/>
      <c r="F292" s="327">
        <f t="shared" si="10"/>
        <v>0</v>
      </c>
      <c r="G292" s="162"/>
      <c r="H292" s="7"/>
      <c r="I292" s="7"/>
      <c r="J292" s="137"/>
      <c r="K292" s="110"/>
      <c r="L292" s="138"/>
    </row>
    <row r="293" spans="1:12" ht="15.75" hidden="1" x14ac:dyDescent="0.25">
      <c r="A293" s="122">
        <f ca="1">'патриотика0,3664'!A360</f>
        <v>0</v>
      </c>
      <c r="B293" s="83" t="s">
        <v>84</v>
      </c>
      <c r="C293" s="83">
        <v>16</v>
      </c>
      <c r="D293" s="163">
        <v>0</v>
      </c>
      <c r="E293" s="347"/>
      <c r="F293" s="327">
        <f t="shared" ref="F293:F356" si="13">D293*E293</f>
        <v>0</v>
      </c>
      <c r="G293" s="162"/>
      <c r="H293" s="7"/>
      <c r="I293" s="7"/>
      <c r="J293" s="137"/>
      <c r="K293" s="110"/>
      <c r="L293" s="138"/>
    </row>
    <row r="294" spans="1:12" ht="15.75" hidden="1" x14ac:dyDescent="0.25">
      <c r="A294" s="122">
        <f ca="1">'патриотика0,3664'!A361</f>
        <v>0</v>
      </c>
      <c r="B294" s="83" t="s">
        <v>84</v>
      </c>
      <c r="C294" s="83">
        <v>17</v>
      </c>
      <c r="D294" s="163">
        <v>0</v>
      </c>
      <c r="E294" s="347"/>
      <c r="F294" s="327">
        <f t="shared" si="13"/>
        <v>0</v>
      </c>
      <c r="G294" s="162"/>
      <c r="H294" s="7"/>
      <c r="I294" s="7"/>
      <c r="J294" s="137"/>
      <c r="K294" s="110"/>
      <c r="L294" s="138"/>
    </row>
    <row r="295" spans="1:12" ht="15.75" hidden="1" x14ac:dyDescent="0.25">
      <c r="A295" s="122">
        <f ca="1">'патриотика0,3664'!A362</f>
        <v>0</v>
      </c>
      <c r="B295" s="83" t="s">
        <v>84</v>
      </c>
      <c r="C295" s="83">
        <v>18</v>
      </c>
      <c r="D295" s="163">
        <v>0</v>
      </c>
      <c r="E295" s="347"/>
      <c r="F295" s="327">
        <f t="shared" si="13"/>
        <v>0</v>
      </c>
      <c r="G295" s="162"/>
      <c r="H295" s="7"/>
      <c r="I295" s="7"/>
      <c r="J295" s="137"/>
      <c r="K295" s="110"/>
      <c r="L295" s="138"/>
    </row>
    <row r="296" spans="1:12" ht="15.75" hidden="1" x14ac:dyDescent="0.25">
      <c r="A296" s="122">
        <f ca="1">'патриотика0,3664'!A363</f>
        <v>0</v>
      </c>
      <c r="B296" s="83" t="s">
        <v>84</v>
      </c>
      <c r="C296" s="83">
        <v>19</v>
      </c>
      <c r="D296" s="163">
        <v>0</v>
      </c>
      <c r="E296" s="347"/>
      <c r="F296" s="327">
        <f t="shared" si="13"/>
        <v>0</v>
      </c>
      <c r="G296" s="162"/>
      <c r="H296" s="7"/>
      <c r="I296" s="7"/>
      <c r="J296" s="137"/>
      <c r="K296" s="110"/>
      <c r="L296" s="138"/>
    </row>
    <row r="297" spans="1:12" ht="15.75" hidden="1" x14ac:dyDescent="0.25">
      <c r="A297" s="122">
        <f ca="1">'патриотика0,3664'!A364</f>
        <v>0</v>
      </c>
      <c r="B297" s="83" t="s">
        <v>84</v>
      </c>
      <c r="C297" s="83">
        <v>20</v>
      </c>
      <c r="D297" s="163">
        <v>0</v>
      </c>
      <c r="E297" s="347"/>
      <c r="F297" s="327">
        <f t="shared" si="13"/>
        <v>0</v>
      </c>
      <c r="G297" s="162"/>
      <c r="H297" s="7"/>
      <c r="I297" s="7"/>
      <c r="J297" s="137"/>
      <c r="K297" s="110"/>
      <c r="L297" s="138"/>
    </row>
    <row r="298" spans="1:12" ht="15.75" hidden="1" x14ac:dyDescent="0.25">
      <c r="A298" s="122">
        <f ca="1">'патриотика0,3664'!A365</f>
        <v>0</v>
      </c>
      <c r="B298" s="83" t="s">
        <v>84</v>
      </c>
      <c r="C298" s="83">
        <v>21</v>
      </c>
      <c r="D298" s="163">
        <v>0</v>
      </c>
      <c r="E298" s="347"/>
      <c r="F298" s="327">
        <f t="shared" si="13"/>
        <v>0</v>
      </c>
      <c r="G298" s="162"/>
      <c r="H298" s="7"/>
      <c r="I298" s="7"/>
      <c r="J298" s="137"/>
      <c r="K298" s="110"/>
      <c r="L298" s="138"/>
    </row>
    <row r="299" spans="1:12" ht="15.75" hidden="1" x14ac:dyDescent="0.25">
      <c r="A299" s="122">
        <f ca="1">'патриотика0,3664'!A366</f>
        <v>0</v>
      </c>
      <c r="B299" s="83" t="s">
        <v>84</v>
      </c>
      <c r="C299" s="83">
        <v>22</v>
      </c>
      <c r="D299" s="163">
        <v>0</v>
      </c>
      <c r="E299" s="347"/>
      <c r="F299" s="327">
        <f t="shared" si="13"/>
        <v>0</v>
      </c>
      <c r="G299" s="162"/>
      <c r="H299" s="7"/>
      <c r="I299" s="7"/>
      <c r="J299" s="137"/>
      <c r="K299" s="110"/>
      <c r="L299" s="138"/>
    </row>
    <row r="300" spans="1:12" ht="15.75" hidden="1" x14ac:dyDescent="0.25">
      <c r="A300" s="122">
        <f ca="1">'патриотика0,3664'!A367</f>
        <v>0</v>
      </c>
      <c r="B300" s="83" t="s">
        <v>84</v>
      </c>
      <c r="C300" s="83">
        <v>23</v>
      </c>
      <c r="D300" s="163">
        <v>0</v>
      </c>
      <c r="E300" s="347"/>
      <c r="F300" s="327">
        <f t="shared" si="13"/>
        <v>0</v>
      </c>
      <c r="G300" s="162"/>
      <c r="H300" s="7"/>
      <c r="I300" s="7"/>
      <c r="J300" s="137"/>
      <c r="K300" s="110"/>
      <c r="L300" s="138"/>
    </row>
    <row r="301" spans="1:12" ht="15.75" hidden="1" x14ac:dyDescent="0.25">
      <c r="A301" s="122">
        <f ca="1">'патриотика0,3664'!A368</f>
        <v>0</v>
      </c>
      <c r="B301" s="83" t="s">
        <v>84</v>
      </c>
      <c r="C301" s="83">
        <v>24</v>
      </c>
      <c r="D301" s="163">
        <v>0</v>
      </c>
      <c r="E301" s="347"/>
      <c r="F301" s="327">
        <f t="shared" si="13"/>
        <v>0</v>
      </c>
      <c r="G301" s="162"/>
      <c r="H301" s="7"/>
      <c r="I301" s="7"/>
      <c r="J301" s="137"/>
      <c r="K301" s="110"/>
      <c r="L301" s="138"/>
    </row>
    <row r="302" spans="1:12" ht="15.75" hidden="1" x14ac:dyDescent="0.25">
      <c r="A302" s="122">
        <f ca="1">'патриотика0,3664'!A369</f>
        <v>0</v>
      </c>
      <c r="B302" s="83" t="s">
        <v>84</v>
      </c>
      <c r="C302" s="83">
        <v>25</v>
      </c>
      <c r="D302" s="163">
        <v>0</v>
      </c>
      <c r="E302" s="347"/>
      <c r="F302" s="327">
        <f t="shared" si="13"/>
        <v>0</v>
      </c>
      <c r="G302" s="162"/>
      <c r="H302" s="7"/>
      <c r="I302" s="7"/>
      <c r="J302" s="137"/>
      <c r="K302" s="110"/>
      <c r="L302" s="138"/>
    </row>
    <row r="303" spans="1:12" ht="15.75" hidden="1" x14ac:dyDescent="0.25">
      <c r="A303" s="122">
        <f ca="1">'патриотика0,3664'!A370</f>
        <v>0</v>
      </c>
      <c r="B303" s="83" t="s">
        <v>84</v>
      </c>
      <c r="C303" s="83">
        <v>26</v>
      </c>
      <c r="D303" s="163">
        <v>0</v>
      </c>
      <c r="E303" s="347"/>
      <c r="F303" s="327">
        <f t="shared" si="13"/>
        <v>0</v>
      </c>
      <c r="G303" s="162"/>
      <c r="H303" s="7"/>
      <c r="I303" s="7"/>
      <c r="J303" s="137"/>
      <c r="K303" s="110"/>
      <c r="L303" s="138"/>
    </row>
    <row r="304" spans="1:12" ht="15.75" hidden="1" x14ac:dyDescent="0.25">
      <c r="A304" s="122">
        <f ca="1">'патриотика0,3664'!A371</f>
        <v>0</v>
      </c>
      <c r="B304" s="83" t="s">
        <v>84</v>
      </c>
      <c r="C304" s="83">
        <v>27</v>
      </c>
      <c r="D304" s="163">
        <v>0</v>
      </c>
      <c r="E304" s="347"/>
      <c r="F304" s="327">
        <f t="shared" si="13"/>
        <v>0</v>
      </c>
      <c r="G304" s="162"/>
      <c r="H304" s="7"/>
      <c r="I304" s="7"/>
      <c r="J304" s="137"/>
      <c r="K304" s="110"/>
      <c r="L304" s="138"/>
    </row>
    <row r="305" spans="1:12" ht="15.75" hidden="1" x14ac:dyDescent="0.25">
      <c r="A305" s="122">
        <f ca="1">'патриотика0,3664'!A372</f>
        <v>0</v>
      </c>
      <c r="B305" s="83" t="s">
        <v>84</v>
      </c>
      <c r="C305" s="83">
        <v>28</v>
      </c>
      <c r="D305" s="163">
        <v>0</v>
      </c>
      <c r="E305" s="347"/>
      <c r="F305" s="327">
        <f t="shared" si="13"/>
        <v>0</v>
      </c>
      <c r="G305" s="162"/>
      <c r="H305" s="7"/>
      <c r="I305" s="7"/>
      <c r="J305" s="137"/>
      <c r="K305" s="110"/>
      <c r="L305" s="138"/>
    </row>
    <row r="306" spans="1:12" ht="15.75" hidden="1" x14ac:dyDescent="0.25">
      <c r="A306" s="122">
        <f ca="1">'патриотика0,3664'!A373</f>
        <v>0</v>
      </c>
      <c r="B306" s="83" t="s">
        <v>84</v>
      </c>
      <c r="C306" s="83">
        <v>29</v>
      </c>
      <c r="D306" s="163">
        <v>0</v>
      </c>
      <c r="E306" s="347"/>
      <c r="F306" s="327">
        <f t="shared" si="13"/>
        <v>0</v>
      </c>
      <c r="G306" s="162"/>
      <c r="H306" s="7"/>
      <c r="I306" s="7"/>
      <c r="J306" s="137"/>
      <c r="K306" s="110"/>
      <c r="L306" s="138"/>
    </row>
    <row r="307" spans="1:12" ht="15.75" hidden="1" x14ac:dyDescent="0.25">
      <c r="A307" s="122">
        <f ca="1">'патриотика0,3664'!A374</f>
        <v>0</v>
      </c>
      <c r="B307" s="83" t="s">
        <v>84</v>
      </c>
      <c r="C307" s="83">
        <v>30</v>
      </c>
      <c r="D307" s="163">
        <v>0</v>
      </c>
      <c r="E307" s="347"/>
      <c r="F307" s="327">
        <f t="shared" si="13"/>
        <v>0</v>
      </c>
      <c r="G307" s="162"/>
      <c r="H307" s="7"/>
      <c r="I307" s="7"/>
      <c r="J307" s="137"/>
      <c r="K307" s="110"/>
      <c r="L307" s="138"/>
    </row>
    <row r="308" spans="1:12" ht="15.75" hidden="1" x14ac:dyDescent="0.25">
      <c r="A308" s="122">
        <f ca="1">'патриотика0,3664'!A375</f>
        <v>0</v>
      </c>
      <c r="B308" s="83" t="s">
        <v>84</v>
      </c>
      <c r="C308" s="83">
        <v>31</v>
      </c>
      <c r="D308" s="163">
        <v>0</v>
      </c>
      <c r="E308" s="347"/>
      <c r="F308" s="327">
        <f t="shared" si="13"/>
        <v>0</v>
      </c>
      <c r="G308" s="162"/>
      <c r="H308" s="7"/>
      <c r="I308" s="7"/>
      <c r="J308" s="137"/>
      <c r="K308" s="110"/>
      <c r="L308" s="138"/>
    </row>
    <row r="309" spans="1:12" ht="15.75" hidden="1" x14ac:dyDescent="0.25">
      <c r="A309" s="122">
        <f ca="1">'патриотика0,3664'!A376</f>
        <v>0</v>
      </c>
      <c r="B309" s="83" t="s">
        <v>84</v>
      </c>
      <c r="C309" s="83">
        <v>32</v>
      </c>
      <c r="D309" s="163">
        <v>0</v>
      </c>
      <c r="E309" s="347"/>
      <c r="F309" s="327">
        <f t="shared" si="13"/>
        <v>0</v>
      </c>
      <c r="G309" s="162"/>
      <c r="H309" s="7"/>
      <c r="I309" s="7"/>
      <c r="J309" s="137"/>
      <c r="K309" s="110"/>
      <c r="L309" s="138"/>
    </row>
    <row r="310" spans="1:12" ht="15.75" hidden="1" x14ac:dyDescent="0.25">
      <c r="A310" s="122">
        <f ca="1">'патриотика0,3664'!A377</f>
        <v>0</v>
      </c>
      <c r="B310" s="83" t="s">
        <v>84</v>
      </c>
      <c r="C310" s="83">
        <v>33</v>
      </c>
      <c r="D310" s="163">
        <v>0</v>
      </c>
      <c r="E310" s="347">
        <f>Лист1!H70</f>
        <v>0</v>
      </c>
      <c r="F310" s="327">
        <f t="shared" si="13"/>
        <v>0</v>
      </c>
      <c r="G310" s="162"/>
      <c r="H310" s="7"/>
      <c r="I310" s="7"/>
      <c r="J310" s="137"/>
      <c r="K310" s="110"/>
      <c r="L310" s="138"/>
    </row>
    <row r="311" spans="1:12" ht="15.75" hidden="1" x14ac:dyDescent="0.25">
      <c r="A311" s="122">
        <f ca="1">'патриотика0,3664'!A378</f>
        <v>0</v>
      </c>
      <c r="B311" s="83" t="s">
        <v>84</v>
      </c>
      <c r="C311" s="83">
        <v>34</v>
      </c>
      <c r="D311" s="163">
        <v>0</v>
      </c>
      <c r="E311" s="347">
        <f>Лист1!H71</f>
        <v>0</v>
      </c>
      <c r="F311" s="327">
        <f t="shared" si="13"/>
        <v>0</v>
      </c>
      <c r="G311" s="162"/>
      <c r="H311" s="7"/>
      <c r="I311" s="7"/>
      <c r="J311" s="137"/>
      <c r="K311" s="110"/>
      <c r="L311" s="138"/>
    </row>
    <row r="312" spans="1:12" ht="15.75" hidden="1" x14ac:dyDescent="0.25">
      <c r="A312" s="122">
        <f ca="1">'патриотика0,3664'!A379</f>
        <v>0</v>
      </c>
      <c r="B312" s="83" t="s">
        <v>84</v>
      </c>
      <c r="C312" s="83">
        <v>35</v>
      </c>
      <c r="D312" s="163">
        <v>0</v>
      </c>
      <c r="E312" s="347">
        <f>Лист1!H72</f>
        <v>0</v>
      </c>
      <c r="F312" s="327">
        <f t="shared" si="13"/>
        <v>0</v>
      </c>
      <c r="G312" s="162"/>
      <c r="H312" s="7"/>
      <c r="I312" s="7"/>
      <c r="J312" s="137"/>
      <c r="K312" s="110"/>
      <c r="L312" s="138"/>
    </row>
    <row r="313" spans="1:12" ht="15.75" hidden="1" x14ac:dyDescent="0.25">
      <c r="A313" s="122">
        <f ca="1">'патриотика0,3664'!A380</f>
        <v>0</v>
      </c>
      <c r="B313" s="83" t="s">
        <v>84</v>
      </c>
      <c r="C313" s="83">
        <v>36</v>
      </c>
      <c r="D313" s="163">
        <v>0</v>
      </c>
      <c r="E313" s="347">
        <f>Лист1!H73</f>
        <v>0</v>
      </c>
      <c r="F313" s="327">
        <f t="shared" si="13"/>
        <v>0</v>
      </c>
      <c r="G313" s="162"/>
      <c r="H313" s="7"/>
      <c r="I313" s="7"/>
      <c r="J313" s="137"/>
      <c r="K313" s="110"/>
      <c r="L313" s="138"/>
    </row>
    <row r="314" spans="1:12" ht="15.75" hidden="1" x14ac:dyDescent="0.25">
      <c r="A314" s="122">
        <f ca="1">'патриотика0,3664'!A381</f>
        <v>0</v>
      </c>
      <c r="B314" s="83" t="s">
        <v>84</v>
      </c>
      <c r="C314" s="83">
        <v>37</v>
      </c>
      <c r="D314" s="163">
        <v>0</v>
      </c>
      <c r="E314" s="347">
        <f>Лист1!H74</f>
        <v>0</v>
      </c>
      <c r="F314" s="327">
        <f t="shared" si="13"/>
        <v>0</v>
      </c>
      <c r="G314" s="162"/>
      <c r="H314" s="7"/>
      <c r="I314" s="7"/>
      <c r="J314" s="137"/>
      <c r="K314" s="110"/>
      <c r="L314" s="138"/>
    </row>
    <row r="315" spans="1:12" ht="15.75" hidden="1" x14ac:dyDescent="0.25">
      <c r="A315" s="122">
        <f ca="1">'патриотика0,3664'!A382</f>
        <v>0</v>
      </c>
      <c r="B315" s="83" t="s">
        <v>84</v>
      </c>
      <c r="C315" s="83">
        <v>38</v>
      </c>
      <c r="D315" s="163">
        <v>0</v>
      </c>
      <c r="E315" s="347">
        <f>Лист1!H75</f>
        <v>0</v>
      </c>
      <c r="F315" s="327">
        <f t="shared" si="13"/>
        <v>0</v>
      </c>
      <c r="G315" s="162"/>
      <c r="H315" s="7"/>
      <c r="I315" s="7"/>
      <c r="J315" s="137"/>
      <c r="K315" s="110"/>
      <c r="L315" s="138"/>
    </row>
    <row r="316" spans="1:12" ht="15.75" hidden="1" x14ac:dyDescent="0.25">
      <c r="A316" s="122">
        <f ca="1">'патриотика0,3664'!A383</f>
        <v>0</v>
      </c>
      <c r="B316" s="83" t="s">
        <v>84</v>
      </c>
      <c r="C316" s="83">
        <v>39</v>
      </c>
      <c r="D316" s="163">
        <v>0</v>
      </c>
      <c r="E316" s="347">
        <f>Лист1!H76</f>
        <v>0</v>
      </c>
      <c r="F316" s="327">
        <f t="shared" si="13"/>
        <v>0</v>
      </c>
      <c r="G316" s="162"/>
      <c r="H316" s="7"/>
      <c r="I316" s="7"/>
      <c r="J316" s="137"/>
      <c r="K316" s="110"/>
      <c r="L316" s="138"/>
    </row>
    <row r="317" spans="1:12" ht="15.75" hidden="1" x14ac:dyDescent="0.25">
      <c r="A317" s="122">
        <f ca="1">'патриотика0,3664'!A384</f>
        <v>0</v>
      </c>
      <c r="B317" s="83" t="s">
        <v>84</v>
      </c>
      <c r="C317" s="83">
        <v>40</v>
      </c>
      <c r="D317" s="163">
        <v>0</v>
      </c>
      <c r="E317" s="347">
        <f>Лист1!H77</f>
        <v>0</v>
      </c>
      <c r="F317" s="327">
        <f t="shared" si="13"/>
        <v>0</v>
      </c>
      <c r="G317" s="162"/>
      <c r="H317" s="7"/>
      <c r="I317" s="7"/>
      <c r="J317" s="137"/>
      <c r="K317" s="110"/>
      <c r="L317" s="138"/>
    </row>
    <row r="318" spans="1:12" ht="15.75" hidden="1" x14ac:dyDescent="0.25">
      <c r="A318" s="122">
        <f ca="1">'патриотика0,3664'!A385</f>
        <v>0</v>
      </c>
      <c r="B318" s="83" t="s">
        <v>84</v>
      </c>
      <c r="C318" s="83">
        <v>41</v>
      </c>
      <c r="D318" s="163">
        <v>0</v>
      </c>
      <c r="E318" s="347">
        <f>Лист1!H78</f>
        <v>0</v>
      </c>
      <c r="F318" s="327">
        <f t="shared" si="13"/>
        <v>0</v>
      </c>
      <c r="G318" s="162"/>
      <c r="H318" s="7"/>
      <c r="I318" s="7"/>
      <c r="J318" s="137"/>
      <c r="K318" s="110"/>
      <c r="L318" s="138"/>
    </row>
    <row r="319" spans="1:12" ht="15.75" hidden="1" x14ac:dyDescent="0.25">
      <c r="A319" s="122">
        <f ca="1">'патриотика0,3664'!A386</f>
        <v>0</v>
      </c>
      <c r="B319" s="83" t="s">
        <v>84</v>
      </c>
      <c r="C319" s="83">
        <v>42</v>
      </c>
      <c r="D319" s="163">
        <v>0</v>
      </c>
      <c r="E319" s="347">
        <f>Лист1!H79</f>
        <v>0</v>
      </c>
      <c r="F319" s="327">
        <f t="shared" si="13"/>
        <v>0</v>
      </c>
      <c r="G319" s="162"/>
      <c r="H319" s="7"/>
      <c r="I319" s="7"/>
      <c r="J319" s="137"/>
      <c r="K319" s="110"/>
      <c r="L319" s="138"/>
    </row>
    <row r="320" spans="1:12" ht="15.75" hidden="1" x14ac:dyDescent="0.25">
      <c r="A320" s="122">
        <f ca="1">'патриотика0,3664'!A387</f>
        <v>0</v>
      </c>
      <c r="B320" s="83" t="s">
        <v>84</v>
      </c>
      <c r="C320" s="83">
        <v>43</v>
      </c>
      <c r="D320" s="163">
        <v>0</v>
      </c>
      <c r="E320" s="347">
        <f>Лист1!H80</f>
        <v>0</v>
      </c>
      <c r="F320" s="327">
        <f t="shared" si="13"/>
        <v>0</v>
      </c>
      <c r="G320" s="162"/>
      <c r="H320" s="7"/>
      <c r="I320" s="7"/>
      <c r="J320" s="137"/>
      <c r="K320" s="110"/>
      <c r="L320" s="138"/>
    </row>
    <row r="321" spans="1:12" ht="15.75" hidden="1" x14ac:dyDescent="0.25">
      <c r="A321" s="122">
        <f ca="1">'патриотика0,3664'!A388</f>
        <v>0</v>
      </c>
      <c r="B321" s="83" t="s">
        <v>84</v>
      </c>
      <c r="C321" s="83">
        <v>44</v>
      </c>
      <c r="D321" s="163">
        <v>0</v>
      </c>
      <c r="E321" s="347">
        <f>Лист1!H81</f>
        <v>0</v>
      </c>
      <c r="F321" s="327">
        <f t="shared" si="13"/>
        <v>0</v>
      </c>
      <c r="G321" s="162"/>
      <c r="H321" s="7"/>
      <c r="I321" s="7"/>
      <c r="J321" s="137"/>
      <c r="K321" s="110"/>
      <c r="L321" s="138"/>
    </row>
    <row r="322" spans="1:12" ht="15.75" hidden="1" x14ac:dyDescent="0.25">
      <c r="A322" s="122">
        <f ca="1">'патриотика0,3664'!A389</f>
        <v>0</v>
      </c>
      <c r="B322" s="83" t="s">
        <v>84</v>
      </c>
      <c r="C322" s="83">
        <v>45</v>
      </c>
      <c r="D322" s="163">
        <f>PRODUCT(Лист1!G82,$A$216)</f>
        <v>0.26719999999999999</v>
      </c>
      <c r="E322" s="347">
        <f>Лист1!H82</f>
        <v>0</v>
      </c>
      <c r="F322" s="327">
        <f t="shared" si="13"/>
        <v>0</v>
      </c>
      <c r="G322" s="162"/>
      <c r="H322" s="7"/>
      <c r="I322" s="7"/>
      <c r="J322" s="137"/>
      <c r="K322" s="110"/>
      <c r="L322" s="138"/>
    </row>
    <row r="323" spans="1:12" ht="15.75" hidden="1" x14ac:dyDescent="0.25">
      <c r="A323" s="122">
        <f ca="1">'патриотика0,3664'!A390</f>
        <v>0</v>
      </c>
      <c r="B323" s="83" t="s">
        <v>84</v>
      </c>
      <c r="C323" s="83">
        <v>46</v>
      </c>
      <c r="D323" s="163">
        <f>PRODUCT(Лист1!G83,$A$216)</f>
        <v>0.26719999999999999</v>
      </c>
      <c r="E323" s="347">
        <f>Лист1!H83</f>
        <v>0</v>
      </c>
      <c r="F323" s="327">
        <f t="shared" si="13"/>
        <v>0</v>
      </c>
      <c r="G323" s="162"/>
      <c r="H323" s="7"/>
      <c r="I323" s="7"/>
      <c r="J323" s="137"/>
      <c r="K323" s="110"/>
      <c r="L323" s="138"/>
    </row>
    <row r="324" spans="1:12" ht="15.75" hidden="1" x14ac:dyDescent="0.25">
      <c r="A324" s="122">
        <f ca="1">'патриотика0,3664'!A391</f>
        <v>0</v>
      </c>
      <c r="B324" s="83" t="s">
        <v>84</v>
      </c>
      <c r="C324" s="83">
        <v>47</v>
      </c>
      <c r="D324" s="163">
        <f>PRODUCT(Лист1!G84,$A$216)</f>
        <v>0.26719999999999999</v>
      </c>
      <c r="E324" s="347">
        <f>Лист1!H84</f>
        <v>0</v>
      </c>
      <c r="F324" s="327">
        <f t="shared" si="13"/>
        <v>0</v>
      </c>
      <c r="G324" s="162"/>
      <c r="H324" s="7"/>
      <c r="I324" s="7"/>
      <c r="J324" s="137"/>
      <c r="K324" s="110"/>
      <c r="L324" s="138"/>
    </row>
    <row r="325" spans="1:12" ht="15.75" hidden="1" x14ac:dyDescent="0.25">
      <c r="A325" s="122">
        <f ca="1">'патриотика0,3664'!A392</f>
        <v>0</v>
      </c>
      <c r="B325" s="83" t="s">
        <v>84</v>
      </c>
      <c r="C325" s="83">
        <v>48</v>
      </c>
      <c r="D325" s="163">
        <f>PRODUCT(Лист1!G85,$A$216)</f>
        <v>0.26719999999999999</v>
      </c>
      <c r="E325" s="347">
        <f>Лист1!H85</f>
        <v>0</v>
      </c>
      <c r="F325" s="327">
        <f t="shared" si="13"/>
        <v>0</v>
      </c>
      <c r="G325" s="162"/>
      <c r="H325" s="7"/>
      <c r="I325" s="7"/>
      <c r="J325" s="137"/>
      <c r="K325" s="110"/>
      <c r="L325" s="138"/>
    </row>
    <row r="326" spans="1:12" ht="15.75" hidden="1" x14ac:dyDescent="0.25">
      <c r="A326" s="122">
        <f ca="1">'патриотика0,3664'!A393</f>
        <v>0</v>
      </c>
      <c r="B326" s="83" t="s">
        <v>84</v>
      </c>
      <c r="C326" s="83">
        <v>49</v>
      </c>
      <c r="D326" s="163">
        <f>PRODUCT(Лист1!G86,$A$216)</f>
        <v>0.26719999999999999</v>
      </c>
      <c r="E326" s="347">
        <f>Лист1!H86</f>
        <v>0</v>
      </c>
      <c r="F326" s="327">
        <f t="shared" si="13"/>
        <v>0</v>
      </c>
      <c r="G326" s="162"/>
      <c r="H326" s="7"/>
      <c r="I326" s="7"/>
      <c r="J326" s="137"/>
      <c r="K326" s="110"/>
      <c r="L326" s="138"/>
    </row>
    <row r="327" spans="1:12" ht="15.75" hidden="1" x14ac:dyDescent="0.25">
      <c r="A327" s="122">
        <f ca="1">'патриотика0,3664'!A394</f>
        <v>0</v>
      </c>
      <c r="B327" s="83" t="s">
        <v>84</v>
      </c>
      <c r="C327" s="83">
        <v>50</v>
      </c>
      <c r="D327" s="163">
        <f>PRODUCT(Лист1!G87,$A$216)</f>
        <v>0.26719999999999999</v>
      </c>
      <c r="E327" s="347">
        <f>Лист1!H87</f>
        <v>0</v>
      </c>
      <c r="F327" s="327">
        <f t="shared" si="13"/>
        <v>0</v>
      </c>
      <c r="G327" s="162"/>
      <c r="H327" s="7"/>
      <c r="I327" s="7"/>
      <c r="J327" s="137"/>
      <c r="K327" s="110"/>
      <c r="L327" s="138"/>
    </row>
    <row r="328" spans="1:12" ht="15.75" hidden="1" x14ac:dyDescent="0.25">
      <c r="A328" s="122">
        <f ca="1">'патриотика0,3664'!A395</f>
        <v>0</v>
      </c>
      <c r="B328" s="83" t="s">
        <v>84</v>
      </c>
      <c r="C328" s="83">
        <v>51</v>
      </c>
      <c r="D328" s="163">
        <f>PRODUCT(Лист1!G88,$A$216)</f>
        <v>0.26719999999999999</v>
      </c>
      <c r="E328" s="347">
        <f>Лист1!H88</f>
        <v>0</v>
      </c>
      <c r="F328" s="327">
        <f t="shared" si="13"/>
        <v>0</v>
      </c>
      <c r="G328" s="162"/>
      <c r="H328" s="7"/>
      <c r="I328" s="7"/>
      <c r="J328" s="137"/>
      <c r="K328" s="110"/>
      <c r="L328" s="138"/>
    </row>
    <row r="329" spans="1:12" ht="12.75" hidden="1" customHeight="1" x14ac:dyDescent="0.25">
      <c r="A329" s="122">
        <f ca="1">'патриотика0,3664'!A396</f>
        <v>0</v>
      </c>
      <c r="B329" s="83" t="s">
        <v>84</v>
      </c>
      <c r="C329" s="83">
        <v>52</v>
      </c>
      <c r="D329" s="163">
        <f>PRODUCT(Лист1!G89,$A$216)</f>
        <v>0.26719999999999999</v>
      </c>
      <c r="E329" s="347">
        <f>Лист1!H89</f>
        <v>0</v>
      </c>
      <c r="F329" s="327">
        <f t="shared" si="13"/>
        <v>0</v>
      </c>
      <c r="G329" s="162"/>
      <c r="H329" s="7"/>
      <c r="I329" s="7"/>
      <c r="J329" s="137"/>
      <c r="K329" s="110"/>
      <c r="L329" s="138"/>
    </row>
    <row r="330" spans="1:12" ht="15.75" hidden="1" x14ac:dyDescent="0.25">
      <c r="A330" s="122">
        <f ca="1">'патриотика0,3664'!A397</f>
        <v>0</v>
      </c>
      <c r="B330" s="83" t="s">
        <v>84</v>
      </c>
      <c r="C330" s="83">
        <v>53</v>
      </c>
      <c r="D330" s="163">
        <f>PRODUCT(Лист1!G90,$A$216)</f>
        <v>0.26719999999999999</v>
      </c>
      <c r="E330" s="347">
        <f>Лист1!H90</f>
        <v>0</v>
      </c>
      <c r="F330" s="327">
        <f t="shared" si="13"/>
        <v>0</v>
      </c>
      <c r="G330" s="162"/>
      <c r="H330" s="7"/>
      <c r="I330" s="7"/>
      <c r="J330" s="137"/>
      <c r="K330" s="110"/>
      <c r="L330" s="138"/>
    </row>
    <row r="331" spans="1:12" ht="15.75" hidden="1" x14ac:dyDescent="0.25">
      <c r="A331" s="122">
        <f ca="1">'патриотика0,3664'!A398</f>
        <v>0</v>
      </c>
      <c r="B331" s="83" t="s">
        <v>84</v>
      </c>
      <c r="C331" s="83">
        <v>54</v>
      </c>
      <c r="D331" s="163">
        <f>PRODUCT(Лист1!G91,$A$216)</f>
        <v>0.26719999999999999</v>
      </c>
      <c r="E331" s="347">
        <f>Лист1!H91</f>
        <v>0</v>
      </c>
      <c r="F331" s="327">
        <f t="shared" si="13"/>
        <v>0</v>
      </c>
      <c r="G331" s="162"/>
      <c r="H331" s="7"/>
      <c r="I331" s="7"/>
      <c r="J331" s="137"/>
      <c r="K331" s="110"/>
      <c r="L331" s="138"/>
    </row>
    <row r="332" spans="1:12" ht="15.75" hidden="1" x14ac:dyDescent="0.25">
      <c r="A332" s="122">
        <f ca="1">'патриотика0,3664'!A399</f>
        <v>0</v>
      </c>
      <c r="B332" s="83" t="s">
        <v>84</v>
      </c>
      <c r="C332" s="83">
        <v>55</v>
      </c>
      <c r="D332" s="163">
        <f>PRODUCT(Лист1!G92,$A$216)</f>
        <v>0.26719999999999999</v>
      </c>
      <c r="E332" s="347">
        <f>Лист1!H92</f>
        <v>0</v>
      </c>
      <c r="F332" s="327">
        <f t="shared" si="13"/>
        <v>0</v>
      </c>
      <c r="G332" s="162"/>
      <c r="H332" s="7"/>
      <c r="I332" s="7"/>
      <c r="J332" s="137"/>
      <c r="K332" s="110"/>
      <c r="L332" s="138"/>
    </row>
    <row r="333" spans="1:12" ht="15.75" hidden="1" x14ac:dyDescent="0.25">
      <c r="A333" s="122">
        <f ca="1">'патриотика0,3664'!A400</f>
        <v>0</v>
      </c>
      <c r="B333" s="83" t="s">
        <v>84</v>
      </c>
      <c r="C333" s="83">
        <v>56</v>
      </c>
      <c r="D333" s="163">
        <f>PRODUCT(Лист1!G93,$A$216)</f>
        <v>0.26719999999999999</v>
      </c>
      <c r="E333" s="347">
        <f>Лист1!H93</f>
        <v>0</v>
      </c>
      <c r="F333" s="327">
        <f t="shared" si="13"/>
        <v>0</v>
      </c>
      <c r="G333" s="162"/>
      <c r="H333" s="7"/>
      <c r="I333" s="7"/>
      <c r="J333" s="137"/>
      <c r="K333" s="110"/>
      <c r="L333" s="138"/>
    </row>
    <row r="334" spans="1:12" ht="15.75" hidden="1" x14ac:dyDescent="0.25">
      <c r="A334" s="122">
        <f ca="1">'патриотика0,3664'!A401</f>
        <v>0</v>
      </c>
      <c r="B334" s="83" t="s">
        <v>84</v>
      </c>
      <c r="C334" s="83">
        <v>57</v>
      </c>
      <c r="D334" s="163">
        <f>PRODUCT(Лист1!G94,$A$216)</f>
        <v>0.26719999999999999</v>
      </c>
      <c r="E334" s="347">
        <f>Лист1!H94</f>
        <v>0</v>
      </c>
      <c r="F334" s="327">
        <f t="shared" si="13"/>
        <v>0</v>
      </c>
      <c r="G334" s="162"/>
      <c r="H334" s="7"/>
      <c r="I334" s="7"/>
      <c r="J334" s="137"/>
      <c r="K334" s="110"/>
      <c r="L334" s="138"/>
    </row>
    <row r="335" spans="1:12" ht="15.75" hidden="1" x14ac:dyDescent="0.25">
      <c r="A335" s="122">
        <f ca="1">'патриотика0,3664'!A402</f>
        <v>0</v>
      </c>
      <c r="B335" s="83" t="s">
        <v>84</v>
      </c>
      <c r="C335" s="83">
        <v>58</v>
      </c>
      <c r="D335" s="163">
        <f>PRODUCT(Лист1!G95,$A$216)</f>
        <v>0.26719999999999999</v>
      </c>
      <c r="E335" s="347">
        <f>Лист1!H95</f>
        <v>0</v>
      </c>
      <c r="F335" s="327">
        <f t="shared" si="13"/>
        <v>0</v>
      </c>
      <c r="G335" s="162"/>
      <c r="H335" s="7"/>
      <c r="I335" s="7"/>
      <c r="J335" s="137"/>
      <c r="K335" s="110"/>
      <c r="L335" s="138"/>
    </row>
    <row r="336" spans="1:12" ht="15.75" hidden="1" x14ac:dyDescent="0.25">
      <c r="A336" s="122">
        <f ca="1">'патриотика0,3664'!A403</f>
        <v>0</v>
      </c>
      <c r="B336" s="83" t="s">
        <v>84</v>
      </c>
      <c r="C336" s="83">
        <v>59</v>
      </c>
      <c r="D336" s="163">
        <f>PRODUCT(Лист1!G96,$A$216)</f>
        <v>0.26719999999999999</v>
      </c>
      <c r="E336" s="347">
        <f>Лист1!H96</f>
        <v>0</v>
      </c>
      <c r="F336" s="327">
        <f t="shared" si="13"/>
        <v>0</v>
      </c>
      <c r="G336" s="162"/>
      <c r="H336" s="7"/>
      <c r="I336" s="7"/>
      <c r="J336" s="137"/>
      <c r="K336" s="110"/>
      <c r="L336" s="138"/>
    </row>
    <row r="337" spans="1:12" ht="15.75" hidden="1" x14ac:dyDescent="0.25">
      <c r="A337" s="122">
        <f ca="1">'патриотика0,3664'!A404</f>
        <v>0</v>
      </c>
      <c r="B337" s="83" t="s">
        <v>84</v>
      </c>
      <c r="C337" s="83">
        <v>60</v>
      </c>
      <c r="D337" s="163">
        <f>PRODUCT(Лист1!G97,$A$216)</f>
        <v>0.26719999999999999</v>
      </c>
      <c r="E337" s="347">
        <f>Лист1!H97</f>
        <v>0</v>
      </c>
      <c r="F337" s="327">
        <f t="shared" si="13"/>
        <v>0</v>
      </c>
      <c r="G337" s="162"/>
      <c r="H337" s="7"/>
      <c r="I337" s="7"/>
      <c r="J337" s="137"/>
      <c r="K337" s="110"/>
      <c r="L337" s="138"/>
    </row>
    <row r="338" spans="1:12" ht="15.75" hidden="1" x14ac:dyDescent="0.25">
      <c r="A338" s="122">
        <f ca="1">'патриотика0,3664'!A405</f>
        <v>0</v>
      </c>
      <c r="B338" s="83" t="s">
        <v>84</v>
      </c>
      <c r="C338" s="83">
        <v>61</v>
      </c>
      <c r="D338" s="163">
        <f>PRODUCT(Лист1!G98,$A$216)</f>
        <v>0.26719999999999999</v>
      </c>
      <c r="E338" s="347">
        <f>Лист1!H98</f>
        <v>0</v>
      </c>
      <c r="F338" s="327">
        <f t="shared" si="13"/>
        <v>0</v>
      </c>
      <c r="G338" s="162"/>
      <c r="H338" s="7"/>
      <c r="I338" s="7"/>
      <c r="J338" s="137"/>
      <c r="K338" s="110"/>
      <c r="L338" s="138"/>
    </row>
    <row r="339" spans="1:12" ht="15.75" hidden="1" x14ac:dyDescent="0.25">
      <c r="A339" s="122">
        <f ca="1">'патриотика0,3664'!A406</f>
        <v>0</v>
      </c>
      <c r="B339" s="83" t="s">
        <v>84</v>
      </c>
      <c r="C339" s="83">
        <v>62</v>
      </c>
      <c r="D339" s="163">
        <f>PRODUCT(Лист1!G99,$A$216)</f>
        <v>0.26719999999999999</v>
      </c>
      <c r="E339" s="347">
        <f>Лист1!H99</f>
        <v>0</v>
      </c>
      <c r="F339" s="327">
        <f t="shared" si="13"/>
        <v>0</v>
      </c>
      <c r="G339" s="162"/>
      <c r="H339" s="7"/>
      <c r="I339" s="7"/>
      <c r="J339" s="137"/>
      <c r="K339" s="110"/>
      <c r="L339" s="138"/>
    </row>
    <row r="340" spans="1:12" ht="15.75" hidden="1" x14ac:dyDescent="0.25">
      <c r="A340" s="122">
        <f ca="1">'патриотика0,3664'!A407</f>
        <v>0</v>
      </c>
      <c r="B340" s="83" t="s">
        <v>84</v>
      </c>
      <c r="C340" s="83">
        <v>63</v>
      </c>
      <c r="D340" s="163">
        <f>PRODUCT(Лист1!G100,$A$216)</f>
        <v>0.26719999999999999</v>
      </c>
      <c r="E340" s="347">
        <f>Лист1!H100</f>
        <v>0</v>
      </c>
      <c r="F340" s="327">
        <f t="shared" si="13"/>
        <v>0</v>
      </c>
      <c r="G340" s="162"/>
      <c r="H340" s="7"/>
      <c r="I340" s="7"/>
      <c r="J340" s="137"/>
      <c r="K340" s="110"/>
      <c r="L340" s="138"/>
    </row>
    <row r="341" spans="1:12" ht="15.75" hidden="1" x14ac:dyDescent="0.25">
      <c r="A341" s="122">
        <f ca="1">'патриотика0,3664'!A408</f>
        <v>0</v>
      </c>
      <c r="B341" s="83" t="s">
        <v>84</v>
      </c>
      <c r="C341" s="83">
        <v>64</v>
      </c>
      <c r="D341" s="163">
        <f>PRODUCT(Лист1!G101,$A$216)</f>
        <v>0.26719999999999999</v>
      </c>
      <c r="E341" s="347">
        <f>Лист1!H101</f>
        <v>0</v>
      </c>
      <c r="F341" s="327">
        <f t="shared" si="13"/>
        <v>0</v>
      </c>
      <c r="G341" s="162"/>
      <c r="H341" s="7"/>
      <c r="I341" s="7"/>
      <c r="J341" s="137"/>
      <c r="K341" s="110"/>
      <c r="L341" s="138"/>
    </row>
    <row r="342" spans="1:12" ht="15.75" hidden="1" x14ac:dyDescent="0.25">
      <c r="A342" s="122">
        <f ca="1">'патриотика0,3664'!A409</f>
        <v>0</v>
      </c>
      <c r="B342" s="83" t="s">
        <v>84</v>
      </c>
      <c r="C342" s="83">
        <v>65</v>
      </c>
      <c r="D342" s="163">
        <f>PRODUCT(Лист1!G102,$A$216)</f>
        <v>0.26719999999999999</v>
      </c>
      <c r="E342" s="347">
        <f>Лист1!H102</f>
        <v>0</v>
      </c>
      <c r="F342" s="327">
        <f t="shared" si="13"/>
        <v>0</v>
      </c>
      <c r="G342" s="162"/>
      <c r="H342" s="7"/>
      <c r="I342" s="7"/>
      <c r="J342" s="137"/>
      <c r="K342" s="110"/>
      <c r="L342" s="138"/>
    </row>
    <row r="343" spans="1:12" ht="15.75" hidden="1" x14ac:dyDescent="0.25">
      <c r="A343" s="122">
        <f ca="1">'патриотика0,3664'!A410</f>
        <v>0</v>
      </c>
      <c r="B343" s="83" t="s">
        <v>84</v>
      </c>
      <c r="C343" s="83">
        <v>66</v>
      </c>
      <c r="D343" s="163">
        <f>PRODUCT(Лист1!G103,$A$216)</f>
        <v>0.26719999999999999</v>
      </c>
      <c r="E343" s="347">
        <f>Лист1!H103</f>
        <v>0</v>
      </c>
      <c r="F343" s="327">
        <f t="shared" si="13"/>
        <v>0</v>
      </c>
      <c r="G343" s="162"/>
      <c r="H343" s="7"/>
      <c r="I343" s="7"/>
      <c r="J343" s="137"/>
      <c r="K343" s="110"/>
      <c r="L343" s="138"/>
    </row>
    <row r="344" spans="1:12" ht="15.75" hidden="1" x14ac:dyDescent="0.25">
      <c r="A344" s="122">
        <f ca="1">'патриотика0,3664'!A411</f>
        <v>0</v>
      </c>
      <c r="B344" s="83" t="s">
        <v>84</v>
      </c>
      <c r="C344" s="83">
        <v>67</v>
      </c>
      <c r="D344" s="163">
        <f>PRODUCT(Лист1!G104,$A$216)</f>
        <v>0.26719999999999999</v>
      </c>
      <c r="E344" s="347">
        <f>Лист1!H104</f>
        <v>0</v>
      </c>
      <c r="F344" s="327">
        <f t="shared" si="13"/>
        <v>0</v>
      </c>
      <c r="G344" s="162"/>
      <c r="H344" s="7"/>
      <c r="I344" s="7"/>
      <c r="J344" s="137"/>
      <c r="K344" s="110"/>
      <c r="L344" s="138"/>
    </row>
    <row r="345" spans="1:12" ht="15.75" hidden="1" x14ac:dyDescent="0.25">
      <c r="A345" s="122">
        <f ca="1">'патриотика0,3664'!A412</f>
        <v>0</v>
      </c>
      <c r="B345" s="83" t="s">
        <v>84</v>
      </c>
      <c r="C345" s="83">
        <v>68</v>
      </c>
      <c r="D345" s="163">
        <f>PRODUCT(Лист1!G105,$A$216)</f>
        <v>0.26719999999999999</v>
      </c>
      <c r="E345" s="347">
        <f>Лист1!H105</f>
        <v>0</v>
      </c>
      <c r="F345" s="327">
        <f t="shared" si="13"/>
        <v>0</v>
      </c>
      <c r="G345" s="162"/>
      <c r="H345" s="7"/>
      <c r="I345" s="7"/>
      <c r="J345" s="137"/>
      <c r="K345" s="110"/>
      <c r="L345" s="138"/>
    </row>
    <row r="346" spans="1:12" ht="15.75" hidden="1" x14ac:dyDescent="0.25">
      <c r="A346" s="122">
        <f ca="1">'патриотика0,3664'!A413</f>
        <v>0</v>
      </c>
      <c r="B346" s="83" t="s">
        <v>84</v>
      </c>
      <c r="C346" s="83">
        <v>69</v>
      </c>
      <c r="D346" s="163">
        <f>PRODUCT(Лист1!G106,$A$216)</f>
        <v>0.26719999999999999</v>
      </c>
      <c r="E346" s="347">
        <f>Лист1!H106</f>
        <v>0</v>
      </c>
      <c r="F346" s="327">
        <f t="shared" si="13"/>
        <v>0</v>
      </c>
      <c r="G346" s="162"/>
      <c r="H346" s="7"/>
      <c r="I346" s="7"/>
      <c r="J346" s="137"/>
      <c r="K346" s="110"/>
      <c r="L346" s="138"/>
    </row>
    <row r="347" spans="1:12" ht="15.75" hidden="1" x14ac:dyDescent="0.25">
      <c r="A347" s="122">
        <f ca="1">'патриотика0,3664'!A414</f>
        <v>0</v>
      </c>
      <c r="B347" s="83" t="s">
        <v>84</v>
      </c>
      <c r="C347" s="83">
        <v>70</v>
      </c>
      <c r="D347" s="163">
        <f>PRODUCT(Лист1!G107,$A$216)</f>
        <v>0.26719999999999999</v>
      </c>
      <c r="E347" s="347">
        <f>Лист1!H107</f>
        <v>0</v>
      </c>
      <c r="F347" s="327">
        <f t="shared" si="13"/>
        <v>0</v>
      </c>
      <c r="G347" s="162"/>
      <c r="H347" s="7"/>
      <c r="I347" s="7"/>
      <c r="J347" s="137"/>
      <c r="K347" s="110"/>
      <c r="L347" s="138"/>
    </row>
    <row r="348" spans="1:12" ht="15.75" hidden="1" x14ac:dyDescent="0.25">
      <c r="A348" s="122">
        <f ca="1">'патриотика0,3664'!A415</f>
        <v>0</v>
      </c>
      <c r="B348" s="83" t="s">
        <v>84</v>
      </c>
      <c r="C348" s="83">
        <v>71</v>
      </c>
      <c r="D348" s="163">
        <f>PRODUCT(Лист1!G108,$A$216)</f>
        <v>0.26719999999999999</v>
      </c>
      <c r="E348" s="347">
        <f>Лист1!H108</f>
        <v>0</v>
      </c>
      <c r="F348" s="327">
        <f t="shared" si="13"/>
        <v>0</v>
      </c>
      <c r="G348" s="162"/>
      <c r="H348" s="7"/>
      <c r="I348" s="7"/>
      <c r="J348" s="137"/>
      <c r="K348" s="110"/>
      <c r="L348" s="138"/>
    </row>
    <row r="349" spans="1:12" ht="15.75" hidden="1" x14ac:dyDescent="0.25">
      <c r="A349" s="122">
        <f ca="1">'патриотика0,3664'!A416</f>
        <v>0</v>
      </c>
      <c r="B349" s="83" t="s">
        <v>84</v>
      </c>
      <c r="C349" s="83">
        <v>72</v>
      </c>
      <c r="D349" s="163">
        <f>PRODUCT(Лист1!G109,$A$216)</f>
        <v>0.26719999999999999</v>
      </c>
      <c r="E349" s="347">
        <f>Лист1!H109</f>
        <v>0</v>
      </c>
      <c r="F349" s="327">
        <f t="shared" si="13"/>
        <v>0</v>
      </c>
      <c r="G349" s="162"/>
      <c r="H349" s="7"/>
      <c r="I349" s="7"/>
      <c r="J349" s="137"/>
      <c r="K349" s="110"/>
      <c r="L349" s="138"/>
    </row>
    <row r="350" spans="1:12" ht="15.75" hidden="1" x14ac:dyDescent="0.25">
      <c r="A350" s="122">
        <f ca="1">'патриотика0,3664'!A417</f>
        <v>0</v>
      </c>
      <c r="B350" s="83" t="s">
        <v>84</v>
      </c>
      <c r="C350" s="83">
        <v>73</v>
      </c>
      <c r="D350" s="163">
        <f>PRODUCT(Лист1!G110,$A$216)</f>
        <v>0.26719999999999999</v>
      </c>
      <c r="E350" s="347">
        <f>Лист1!H110</f>
        <v>0</v>
      </c>
      <c r="F350" s="327">
        <f t="shared" si="13"/>
        <v>0</v>
      </c>
      <c r="G350" s="162"/>
      <c r="H350" s="7"/>
      <c r="I350" s="7"/>
      <c r="J350" s="137"/>
      <c r="K350" s="110"/>
      <c r="L350" s="138"/>
    </row>
    <row r="351" spans="1:12" ht="15.75" hidden="1" x14ac:dyDescent="0.25">
      <c r="A351" s="122">
        <f ca="1">'патриотика0,3664'!A418</f>
        <v>0</v>
      </c>
      <c r="B351" s="83" t="s">
        <v>84</v>
      </c>
      <c r="C351" s="83">
        <v>74</v>
      </c>
      <c r="D351" s="163">
        <f>PRODUCT(Лист1!G111,$A$216)</f>
        <v>0.26719999999999999</v>
      </c>
      <c r="E351" s="347">
        <f>Лист1!H111</f>
        <v>0</v>
      </c>
      <c r="F351" s="327">
        <f t="shared" si="13"/>
        <v>0</v>
      </c>
      <c r="G351" s="162"/>
      <c r="H351" s="7"/>
      <c r="I351" s="7"/>
      <c r="J351" s="137"/>
      <c r="K351" s="110"/>
      <c r="L351" s="138"/>
    </row>
    <row r="352" spans="1:12" ht="15.75" hidden="1" x14ac:dyDescent="0.25">
      <c r="A352" s="122">
        <f ca="1">'патриотика0,3664'!A419</f>
        <v>0</v>
      </c>
      <c r="B352" s="83" t="s">
        <v>84</v>
      </c>
      <c r="C352" s="83">
        <v>75</v>
      </c>
      <c r="D352" s="163">
        <f>PRODUCT(Лист1!G112,$A$216)</f>
        <v>0.26719999999999999</v>
      </c>
      <c r="E352" s="347">
        <f>Лист1!H112</f>
        <v>0</v>
      </c>
      <c r="F352" s="327">
        <f t="shared" si="13"/>
        <v>0</v>
      </c>
      <c r="G352" s="162"/>
      <c r="H352" s="7"/>
      <c r="I352" s="7"/>
      <c r="J352" s="137"/>
      <c r="K352" s="110"/>
      <c r="L352" s="138"/>
    </row>
    <row r="353" spans="1:12" ht="15.75" hidden="1" x14ac:dyDescent="0.25">
      <c r="A353" s="122">
        <f ca="1">'патриотика0,3664'!A420</f>
        <v>0</v>
      </c>
      <c r="B353" s="83" t="s">
        <v>84</v>
      </c>
      <c r="C353" s="83">
        <v>76</v>
      </c>
      <c r="D353" s="163">
        <f>PRODUCT(Лист1!G113,$A$216)</f>
        <v>0.26719999999999999</v>
      </c>
      <c r="E353" s="347">
        <f>Лист1!H113</f>
        <v>0</v>
      </c>
      <c r="F353" s="327">
        <f t="shared" si="13"/>
        <v>0</v>
      </c>
      <c r="G353" s="162"/>
      <c r="H353" s="7"/>
      <c r="I353" s="7"/>
      <c r="J353" s="137"/>
      <c r="K353" s="110"/>
      <c r="L353" s="138"/>
    </row>
    <row r="354" spans="1:12" ht="15.75" hidden="1" x14ac:dyDescent="0.25">
      <c r="A354" s="122">
        <f ca="1">'патриотика0,3664'!A421</f>
        <v>0</v>
      </c>
      <c r="B354" s="83" t="s">
        <v>84</v>
      </c>
      <c r="C354" s="83">
        <v>77</v>
      </c>
      <c r="D354" s="163">
        <f>PRODUCT(Лист1!G114,$A$216)</f>
        <v>0.26719999999999999</v>
      </c>
      <c r="E354" s="347">
        <f>Лист1!H114</f>
        <v>0</v>
      </c>
      <c r="F354" s="327">
        <f t="shared" si="13"/>
        <v>0</v>
      </c>
      <c r="G354" s="162"/>
      <c r="H354" s="7"/>
      <c r="I354" s="7"/>
      <c r="J354" s="137"/>
      <c r="K354" s="110"/>
      <c r="L354" s="138"/>
    </row>
    <row r="355" spans="1:12" ht="15.75" hidden="1" x14ac:dyDescent="0.25">
      <c r="A355" s="122">
        <f ca="1">'патриотика0,3664'!A422</f>
        <v>0</v>
      </c>
      <c r="B355" s="83" t="s">
        <v>84</v>
      </c>
      <c r="C355" s="83">
        <v>78</v>
      </c>
      <c r="D355" s="163">
        <f>PRODUCT(Лист1!G115,$A$216)</f>
        <v>0.26719999999999999</v>
      </c>
      <c r="E355" s="347">
        <f>Лист1!H115</f>
        <v>0</v>
      </c>
      <c r="F355" s="327">
        <f t="shared" si="13"/>
        <v>0</v>
      </c>
      <c r="G355" s="162"/>
      <c r="H355" s="7"/>
      <c r="I355" s="7"/>
      <c r="J355" s="137"/>
      <c r="K355" s="110"/>
      <c r="L355" s="138"/>
    </row>
    <row r="356" spans="1:12" ht="15.75" hidden="1" x14ac:dyDescent="0.25">
      <c r="A356" s="122">
        <f ca="1">'патриотика0,3664'!A423</f>
        <v>0</v>
      </c>
      <c r="B356" s="83" t="s">
        <v>84</v>
      </c>
      <c r="C356" s="83">
        <v>79</v>
      </c>
      <c r="D356" s="163">
        <f>PRODUCT(Лист1!G116,$A$216)</f>
        <v>0.26719999999999999</v>
      </c>
      <c r="E356" s="347">
        <f>Лист1!H116</f>
        <v>0</v>
      </c>
      <c r="F356" s="327">
        <f t="shared" si="13"/>
        <v>0</v>
      </c>
      <c r="G356" s="162"/>
      <c r="H356" s="7"/>
      <c r="I356" s="7"/>
      <c r="J356" s="137"/>
      <c r="K356" s="110"/>
      <c r="L356" s="138"/>
    </row>
    <row r="357" spans="1:12" ht="15.75" hidden="1" x14ac:dyDescent="0.25">
      <c r="A357" s="122">
        <f ca="1">'патриотика0,3664'!A424</f>
        <v>0</v>
      </c>
      <c r="B357" s="83" t="s">
        <v>84</v>
      </c>
      <c r="C357" s="83">
        <v>80</v>
      </c>
      <c r="D357" s="163">
        <f>PRODUCT(Лист1!G117,$A$216)</f>
        <v>0.26719999999999999</v>
      </c>
      <c r="E357" s="347">
        <f>Лист1!H117</f>
        <v>0</v>
      </c>
      <c r="F357" s="327">
        <f t="shared" ref="F357:F420" si="14">D357*E357</f>
        <v>0</v>
      </c>
      <c r="G357" s="162"/>
      <c r="H357" s="7"/>
      <c r="I357" s="7"/>
      <c r="J357" s="137"/>
      <c r="K357" s="110"/>
      <c r="L357" s="138"/>
    </row>
    <row r="358" spans="1:12" ht="15.75" hidden="1" x14ac:dyDescent="0.25">
      <c r="A358" s="122">
        <f ca="1">'патриотика0,3664'!A425</f>
        <v>0</v>
      </c>
      <c r="B358" s="83" t="s">
        <v>84</v>
      </c>
      <c r="C358" s="83">
        <v>81</v>
      </c>
      <c r="D358" s="163">
        <f>PRODUCT(Лист1!G118,$A$216)</f>
        <v>0.26719999999999999</v>
      </c>
      <c r="E358" s="347">
        <f>Лист1!H118</f>
        <v>0</v>
      </c>
      <c r="F358" s="327">
        <f t="shared" si="14"/>
        <v>0</v>
      </c>
      <c r="G358" s="162"/>
      <c r="H358" s="7"/>
      <c r="I358" s="7"/>
      <c r="J358" s="137"/>
      <c r="K358" s="110"/>
      <c r="L358" s="138"/>
    </row>
    <row r="359" spans="1:12" ht="15.75" hidden="1" x14ac:dyDescent="0.25">
      <c r="A359" s="122">
        <f ca="1">'патриотика0,3664'!A426</f>
        <v>0</v>
      </c>
      <c r="B359" s="83" t="s">
        <v>84</v>
      </c>
      <c r="C359" s="83">
        <v>82</v>
      </c>
      <c r="D359" s="163">
        <f>PRODUCT(Лист1!G119,$A$216)</f>
        <v>0.26719999999999999</v>
      </c>
      <c r="E359" s="347">
        <f>Лист1!H119</f>
        <v>0</v>
      </c>
      <c r="F359" s="327">
        <f t="shared" si="14"/>
        <v>0</v>
      </c>
      <c r="G359" s="162"/>
      <c r="H359" s="7"/>
      <c r="I359" s="7"/>
      <c r="J359" s="137"/>
      <c r="K359" s="110"/>
      <c r="L359" s="138"/>
    </row>
    <row r="360" spans="1:12" ht="15.75" hidden="1" x14ac:dyDescent="0.25">
      <c r="A360" s="122">
        <f ca="1">'патриотика0,3664'!A427</f>
        <v>0</v>
      </c>
      <c r="B360" s="83" t="s">
        <v>84</v>
      </c>
      <c r="C360" s="83">
        <v>83</v>
      </c>
      <c r="D360" s="163">
        <f>PRODUCT(Лист1!G120,$A$216)</f>
        <v>0.26719999999999999</v>
      </c>
      <c r="E360" s="347">
        <f>Лист1!H120</f>
        <v>0</v>
      </c>
      <c r="F360" s="327">
        <f t="shared" si="14"/>
        <v>0</v>
      </c>
      <c r="G360" s="162"/>
      <c r="H360" s="7"/>
      <c r="I360" s="7"/>
      <c r="J360" s="137"/>
      <c r="K360" s="110"/>
      <c r="L360" s="138"/>
    </row>
    <row r="361" spans="1:12" ht="15.75" hidden="1" x14ac:dyDescent="0.25">
      <c r="A361" s="122">
        <f ca="1">'патриотика0,3664'!A428</f>
        <v>0</v>
      </c>
      <c r="B361" s="83" t="s">
        <v>84</v>
      </c>
      <c r="C361" s="83">
        <v>84</v>
      </c>
      <c r="D361" s="163">
        <f>PRODUCT(Лист1!G121,$A$216)</f>
        <v>0.26719999999999999</v>
      </c>
      <c r="E361" s="347">
        <f>Лист1!H121</f>
        <v>0</v>
      </c>
      <c r="F361" s="327">
        <f t="shared" si="14"/>
        <v>0</v>
      </c>
      <c r="G361" s="162"/>
      <c r="H361" s="7"/>
      <c r="I361" s="7"/>
      <c r="J361" s="137"/>
      <c r="K361" s="110"/>
      <c r="L361" s="138"/>
    </row>
    <row r="362" spans="1:12" ht="15.75" hidden="1" x14ac:dyDescent="0.25">
      <c r="A362" s="122">
        <f ca="1">'патриотика0,3664'!A429</f>
        <v>0</v>
      </c>
      <c r="B362" s="83" t="s">
        <v>84</v>
      </c>
      <c r="C362" s="83">
        <v>85</v>
      </c>
      <c r="D362" s="163">
        <f>PRODUCT(Лист1!G122,$A$216)</f>
        <v>0.26719999999999999</v>
      </c>
      <c r="E362" s="347">
        <f>Лист1!H122</f>
        <v>0</v>
      </c>
      <c r="F362" s="327">
        <f t="shared" si="14"/>
        <v>0</v>
      </c>
      <c r="G362" s="162"/>
      <c r="H362" s="7"/>
      <c r="I362" s="7"/>
      <c r="J362" s="137"/>
      <c r="K362" s="110"/>
      <c r="L362" s="138"/>
    </row>
    <row r="363" spans="1:12" ht="15.75" hidden="1" x14ac:dyDescent="0.25">
      <c r="A363" s="122">
        <f ca="1">'патриотика0,3664'!A430</f>
        <v>0</v>
      </c>
      <c r="B363" s="83" t="s">
        <v>84</v>
      </c>
      <c r="C363" s="83">
        <v>86</v>
      </c>
      <c r="D363" s="163">
        <f>PRODUCT(Лист1!G123,$A$216)</f>
        <v>0.26719999999999999</v>
      </c>
      <c r="E363" s="347">
        <f>Лист1!H123</f>
        <v>0</v>
      </c>
      <c r="F363" s="327">
        <f t="shared" si="14"/>
        <v>0</v>
      </c>
      <c r="G363" s="162"/>
      <c r="H363" s="7"/>
      <c r="I363" s="7"/>
      <c r="J363" s="137"/>
      <c r="K363" s="110"/>
      <c r="L363" s="138"/>
    </row>
    <row r="364" spans="1:12" ht="15.75" hidden="1" x14ac:dyDescent="0.25">
      <c r="A364" s="122">
        <f ca="1">'патриотика0,3664'!A431</f>
        <v>0</v>
      </c>
      <c r="B364" s="83" t="s">
        <v>84</v>
      </c>
      <c r="C364" s="83">
        <v>87</v>
      </c>
      <c r="D364" s="163">
        <f>PRODUCT(Лист1!G124,$A$216)</f>
        <v>0.26719999999999999</v>
      </c>
      <c r="E364" s="347">
        <f>Лист1!H124</f>
        <v>0</v>
      </c>
      <c r="F364" s="327">
        <f t="shared" si="14"/>
        <v>0</v>
      </c>
      <c r="G364" s="162"/>
      <c r="H364" s="7"/>
      <c r="I364" s="7"/>
      <c r="J364" s="137"/>
      <c r="K364" s="110"/>
      <c r="L364" s="138"/>
    </row>
    <row r="365" spans="1:12" ht="15.75" hidden="1" x14ac:dyDescent="0.25">
      <c r="A365" s="122">
        <f ca="1">'патриотика0,3664'!A432</f>
        <v>0</v>
      </c>
      <c r="B365" s="83" t="s">
        <v>84</v>
      </c>
      <c r="C365" s="83">
        <v>88</v>
      </c>
      <c r="D365" s="163">
        <f>PRODUCT(Лист1!G125,$A$216)</f>
        <v>0.26719999999999999</v>
      </c>
      <c r="E365" s="347">
        <f>Лист1!H125</f>
        <v>0</v>
      </c>
      <c r="F365" s="327">
        <f t="shared" si="14"/>
        <v>0</v>
      </c>
      <c r="G365" s="162"/>
      <c r="H365" s="7"/>
      <c r="I365" s="7"/>
      <c r="J365" s="137"/>
      <c r="K365" s="112"/>
      <c r="L365" s="138"/>
    </row>
    <row r="366" spans="1:12" ht="15.75" hidden="1" x14ac:dyDescent="0.25">
      <c r="A366" s="122">
        <f ca="1">'патриотика0,3664'!A433</f>
        <v>0</v>
      </c>
      <c r="B366" s="83" t="s">
        <v>84</v>
      </c>
      <c r="C366" s="83">
        <v>89</v>
      </c>
      <c r="D366" s="163">
        <f>PRODUCT(Лист1!G126,$A$216)</f>
        <v>0.26719999999999999</v>
      </c>
      <c r="E366" s="347">
        <f>Лист1!H126</f>
        <v>0</v>
      </c>
      <c r="F366" s="327">
        <f t="shared" si="14"/>
        <v>0</v>
      </c>
      <c r="G366" s="162"/>
      <c r="H366" s="7"/>
      <c r="I366" s="7"/>
      <c r="J366" s="137"/>
      <c r="K366" s="112"/>
      <c r="L366" s="138"/>
    </row>
    <row r="367" spans="1:12" ht="15.75" hidden="1" x14ac:dyDescent="0.25">
      <c r="A367" s="122">
        <f ca="1">'патриотика0,3664'!A434</f>
        <v>0</v>
      </c>
      <c r="B367" s="83" t="s">
        <v>84</v>
      </c>
      <c r="C367" s="83">
        <v>90</v>
      </c>
      <c r="D367" s="163">
        <f>PRODUCT(Лист1!G127,$A$216)</f>
        <v>0.26719999999999999</v>
      </c>
      <c r="E367" s="347">
        <f>Лист1!H127</f>
        <v>0</v>
      </c>
      <c r="F367" s="327">
        <f t="shared" si="14"/>
        <v>0</v>
      </c>
      <c r="G367" s="162"/>
      <c r="H367" s="7"/>
      <c r="I367" s="7"/>
      <c r="J367" s="137"/>
      <c r="K367" s="112"/>
      <c r="L367" s="138"/>
    </row>
    <row r="368" spans="1:12" ht="15.75" hidden="1" x14ac:dyDescent="0.25">
      <c r="A368" s="122">
        <f ca="1">'патриотика0,3664'!A435</f>
        <v>0</v>
      </c>
      <c r="B368" s="83" t="s">
        <v>84</v>
      </c>
      <c r="C368" s="83">
        <v>91</v>
      </c>
      <c r="D368" s="163">
        <f>PRODUCT(Лист1!G128,$A$216)</f>
        <v>0.26719999999999999</v>
      </c>
      <c r="E368" s="347">
        <f>Лист1!H128</f>
        <v>0</v>
      </c>
      <c r="F368" s="327">
        <f t="shared" si="14"/>
        <v>0</v>
      </c>
      <c r="G368" s="162"/>
      <c r="H368" s="7"/>
      <c r="I368" s="7"/>
      <c r="J368" s="137"/>
      <c r="K368" s="112"/>
      <c r="L368" s="138"/>
    </row>
    <row r="369" spans="1:12" ht="15.75" hidden="1" x14ac:dyDescent="0.25">
      <c r="A369" s="122">
        <f ca="1">'патриотика0,3664'!A436</f>
        <v>0</v>
      </c>
      <c r="B369" s="83" t="s">
        <v>84</v>
      </c>
      <c r="C369" s="83">
        <v>92</v>
      </c>
      <c r="D369" s="163">
        <f>PRODUCT(Лист1!G129,$A$216)</f>
        <v>0.26719999999999999</v>
      </c>
      <c r="E369" s="347">
        <f>Лист1!H129</f>
        <v>0</v>
      </c>
      <c r="F369" s="327">
        <f t="shared" si="14"/>
        <v>0</v>
      </c>
      <c r="G369" s="162"/>
      <c r="H369" s="7"/>
      <c r="I369" s="7"/>
      <c r="J369" s="137"/>
      <c r="K369" s="112"/>
      <c r="L369" s="138"/>
    </row>
    <row r="370" spans="1:12" ht="15.75" hidden="1" x14ac:dyDescent="0.25">
      <c r="A370" s="122">
        <f ca="1">'патриотика0,3664'!A437</f>
        <v>0</v>
      </c>
      <c r="B370" s="83" t="s">
        <v>84</v>
      </c>
      <c r="C370" s="83">
        <v>93</v>
      </c>
      <c r="D370" s="163">
        <f>PRODUCT(Лист1!G130,$A$216)</f>
        <v>0.26719999999999999</v>
      </c>
      <c r="E370" s="347">
        <f>Лист1!H130</f>
        <v>0</v>
      </c>
      <c r="F370" s="327">
        <f t="shared" si="14"/>
        <v>0</v>
      </c>
      <c r="G370" s="162"/>
      <c r="H370" s="7"/>
      <c r="I370" s="7"/>
      <c r="J370" s="137"/>
      <c r="K370" s="112"/>
      <c r="L370" s="138"/>
    </row>
    <row r="371" spans="1:12" ht="15.75" hidden="1" x14ac:dyDescent="0.25">
      <c r="A371" s="122">
        <f ca="1">'патриотика0,3664'!A438</f>
        <v>0</v>
      </c>
      <c r="B371" s="83" t="s">
        <v>84</v>
      </c>
      <c r="C371" s="83">
        <v>94</v>
      </c>
      <c r="D371" s="163">
        <f>PRODUCT(Лист1!G131,$A$216)</f>
        <v>0.26719999999999999</v>
      </c>
      <c r="E371" s="347">
        <f>Лист1!H131</f>
        <v>0</v>
      </c>
      <c r="F371" s="327">
        <f t="shared" si="14"/>
        <v>0</v>
      </c>
      <c r="G371" s="162"/>
      <c r="H371" s="7"/>
      <c r="I371" s="7"/>
      <c r="J371" s="137"/>
      <c r="K371" s="112"/>
      <c r="L371" s="138"/>
    </row>
    <row r="372" spans="1:12" ht="15.75" hidden="1" x14ac:dyDescent="0.25">
      <c r="A372" s="122">
        <f ca="1">'патриотика0,3664'!A439</f>
        <v>0</v>
      </c>
      <c r="B372" s="83" t="s">
        <v>84</v>
      </c>
      <c r="C372" s="83">
        <v>95</v>
      </c>
      <c r="D372" s="163">
        <f>PRODUCT(Лист1!G132,$A$216)</f>
        <v>0.26719999999999999</v>
      </c>
      <c r="E372" s="347">
        <f>Лист1!H132</f>
        <v>0</v>
      </c>
      <c r="F372" s="327">
        <f t="shared" si="14"/>
        <v>0</v>
      </c>
      <c r="G372" s="162"/>
      <c r="H372" s="7"/>
      <c r="I372" s="7"/>
      <c r="J372" s="137"/>
      <c r="K372" s="112"/>
      <c r="L372" s="138"/>
    </row>
    <row r="373" spans="1:12" ht="15.75" hidden="1" x14ac:dyDescent="0.25">
      <c r="A373" s="122">
        <f ca="1">'патриотика0,3664'!A440</f>
        <v>0</v>
      </c>
      <c r="B373" s="83" t="s">
        <v>84</v>
      </c>
      <c r="C373" s="83">
        <v>96</v>
      </c>
      <c r="D373" s="163">
        <f>PRODUCT(Лист1!G133,$A$216)</f>
        <v>0.26719999999999999</v>
      </c>
      <c r="E373" s="347">
        <f>Лист1!H133</f>
        <v>0</v>
      </c>
      <c r="F373" s="327">
        <f t="shared" si="14"/>
        <v>0</v>
      </c>
      <c r="G373" s="162"/>
      <c r="H373" s="7"/>
      <c r="I373" s="7"/>
      <c r="J373" s="137"/>
      <c r="K373" s="112"/>
      <c r="L373" s="138"/>
    </row>
    <row r="374" spans="1:12" ht="15.75" hidden="1" x14ac:dyDescent="0.25">
      <c r="A374" s="122">
        <f ca="1">'патриотика0,3664'!A441</f>
        <v>0</v>
      </c>
      <c r="B374" s="83" t="s">
        <v>84</v>
      </c>
      <c r="C374" s="83">
        <v>97</v>
      </c>
      <c r="D374" s="163">
        <f>PRODUCT(Лист1!G134,$A$216)</f>
        <v>0.26719999999999999</v>
      </c>
      <c r="E374" s="347">
        <f>Лист1!H134</f>
        <v>0</v>
      </c>
      <c r="F374" s="327">
        <f t="shared" si="14"/>
        <v>0</v>
      </c>
      <c r="G374" s="162"/>
      <c r="H374" s="7"/>
      <c r="I374" s="7"/>
      <c r="J374" s="137"/>
      <c r="K374" s="112"/>
      <c r="L374" s="138"/>
    </row>
    <row r="375" spans="1:12" ht="15.75" hidden="1" x14ac:dyDescent="0.25">
      <c r="A375" s="122">
        <f ca="1">'патриотика0,3664'!A442</f>
        <v>0</v>
      </c>
      <c r="B375" s="83" t="s">
        <v>84</v>
      </c>
      <c r="C375" s="83">
        <v>98</v>
      </c>
      <c r="D375" s="163">
        <f>PRODUCT(Лист1!G135,$A$216)</f>
        <v>0.26719999999999999</v>
      </c>
      <c r="E375" s="347">
        <f>Лист1!H135</f>
        <v>0</v>
      </c>
      <c r="F375" s="327">
        <f t="shared" si="14"/>
        <v>0</v>
      </c>
      <c r="G375" s="162"/>
      <c r="H375" s="7"/>
      <c r="I375" s="7"/>
      <c r="J375" s="137"/>
      <c r="K375" s="112"/>
      <c r="L375" s="138"/>
    </row>
    <row r="376" spans="1:12" ht="15.75" hidden="1" x14ac:dyDescent="0.25">
      <c r="A376" s="122">
        <f ca="1">'патриотика0,3664'!A443</f>
        <v>0</v>
      </c>
      <c r="B376" s="83" t="s">
        <v>84</v>
      </c>
      <c r="C376" s="83">
        <v>99</v>
      </c>
      <c r="D376" s="163">
        <f>PRODUCT(Лист1!G136,$A$216)</f>
        <v>0.26719999999999999</v>
      </c>
      <c r="E376" s="347">
        <f>Лист1!H136</f>
        <v>0</v>
      </c>
      <c r="F376" s="327">
        <f t="shared" si="14"/>
        <v>0</v>
      </c>
      <c r="G376" s="162"/>
      <c r="H376" s="7"/>
      <c r="I376" s="7"/>
      <c r="J376" s="137"/>
      <c r="K376" s="112"/>
      <c r="L376" s="138"/>
    </row>
    <row r="377" spans="1:12" ht="15.75" hidden="1" x14ac:dyDescent="0.25">
      <c r="A377" s="122">
        <f ca="1">'патриотика0,3664'!A444</f>
        <v>0</v>
      </c>
      <c r="B377" s="83" t="s">
        <v>84</v>
      </c>
      <c r="C377" s="83">
        <v>100</v>
      </c>
      <c r="D377" s="163">
        <f>PRODUCT(Лист1!G137,$A$216)</f>
        <v>0.26719999999999999</v>
      </c>
      <c r="E377" s="347">
        <f>Лист1!H137</f>
        <v>0</v>
      </c>
      <c r="F377" s="327">
        <f t="shared" si="14"/>
        <v>0</v>
      </c>
      <c r="G377" s="162"/>
      <c r="H377" s="7"/>
      <c r="I377" s="7"/>
      <c r="J377" s="137"/>
      <c r="K377" s="112"/>
      <c r="L377" s="138"/>
    </row>
    <row r="378" spans="1:12" ht="15.75" hidden="1" x14ac:dyDescent="0.25">
      <c r="A378" s="122">
        <f ca="1">'патриотика0,3664'!A445</f>
        <v>0</v>
      </c>
      <c r="B378" s="83" t="s">
        <v>84</v>
      </c>
      <c r="C378" s="83">
        <v>101</v>
      </c>
      <c r="D378" s="163">
        <f>PRODUCT(Лист1!G138,$A$216)</f>
        <v>0.26719999999999999</v>
      </c>
      <c r="E378" s="347">
        <f>Лист1!H138</f>
        <v>0</v>
      </c>
      <c r="F378" s="327">
        <f t="shared" si="14"/>
        <v>0</v>
      </c>
      <c r="G378" s="162"/>
      <c r="H378" s="7"/>
      <c r="I378" s="7"/>
      <c r="J378" s="137"/>
      <c r="K378" s="112"/>
      <c r="L378" s="138"/>
    </row>
    <row r="379" spans="1:12" ht="15.75" hidden="1" x14ac:dyDescent="0.25">
      <c r="A379" s="122">
        <f ca="1">'патриотика0,3664'!A446</f>
        <v>0</v>
      </c>
      <c r="B379" s="83" t="s">
        <v>84</v>
      </c>
      <c r="C379" s="83">
        <v>102</v>
      </c>
      <c r="D379" s="163">
        <f>PRODUCT(Лист1!G139,$A$216)</f>
        <v>0.26719999999999999</v>
      </c>
      <c r="E379" s="347">
        <f>Лист1!H139</f>
        <v>0</v>
      </c>
      <c r="F379" s="327">
        <f t="shared" si="14"/>
        <v>0</v>
      </c>
      <c r="G379" s="162"/>
      <c r="H379" s="7"/>
      <c r="I379" s="7"/>
      <c r="J379" s="137"/>
      <c r="K379" s="112"/>
      <c r="L379" s="138"/>
    </row>
    <row r="380" spans="1:12" ht="15.75" hidden="1" x14ac:dyDescent="0.25">
      <c r="A380" s="122">
        <f ca="1">'патриотика0,3664'!A447</f>
        <v>0</v>
      </c>
      <c r="B380" s="83" t="s">
        <v>84</v>
      </c>
      <c r="C380" s="83">
        <v>103</v>
      </c>
      <c r="D380" s="163">
        <f>PRODUCT(Лист1!G140,$A$216)</f>
        <v>0.26719999999999999</v>
      </c>
      <c r="E380" s="347">
        <f>Лист1!H140</f>
        <v>0</v>
      </c>
      <c r="F380" s="327">
        <f t="shared" si="14"/>
        <v>0</v>
      </c>
      <c r="G380" s="162"/>
      <c r="H380" s="7"/>
      <c r="I380" s="7"/>
      <c r="J380" s="137"/>
      <c r="K380" s="112"/>
      <c r="L380" s="138"/>
    </row>
    <row r="381" spans="1:12" ht="15.75" hidden="1" x14ac:dyDescent="0.25">
      <c r="A381" s="122">
        <f ca="1">'патриотика0,3664'!A448</f>
        <v>0</v>
      </c>
      <c r="B381" s="83" t="s">
        <v>84</v>
      </c>
      <c r="C381" s="83">
        <v>104</v>
      </c>
      <c r="D381" s="163">
        <f>PRODUCT(Лист1!G141,$A$216)</f>
        <v>0.26719999999999999</v>
      </c>
      <c r="E381" s="347">
        <f>Лист1!H141</f>
        <v>0</v>
      </c>
      <c r="F381" s="327">
        <f t="shared" si="14"/>
        <v>0</v>
      </c>
      <c r="G381" s="162"/>
      <c r="H381" s="7"/>
      <c r="I381" s="7"/>
      <c r="J381" s="137"/>
      <c r="K381" s="112"/>
      <c r="L381" s="138"/>
    </row>
    <row r="382" spans="1:12" ht="15.75" hidden="1" x14ac:dyDescent="0.25">
      <c r="A382" s="122">
        <f ca="1">'патриотика0,3664'!A449</f>
        <v>0</v>
      </c>
      <c r="B382" s="83" t="s">
        <v>84</v>
      </c>
      <c r="C382" s="83">
        <v>105</v>
      </c>
      <c r="D382" s="163">
        <f>PRODUCT(Лист1!G142,$A$216)</f>
        <v>0.26719999999999999</v>
      </c>
      <c r="E382" s="347">
        <f>Лист1!H142</f>
        <v>0</v>
      </c>
      <c r="F382" s="327">
        <f t="shared" si="14"/>
        <v>0</v>
      </c>
      <c r="G382" s="162"/>
      <c r="H382" s="7"/>
      <c r="I382" s="7"/>
      <c r="J382" s="137"/>
      <c r="K382" s="112"/>
      <c r="L382" s="138"/>
    </row>
    <row r="383" spans="1:12" ht="15.75" hidden="1" x14ac:dyDescent="0.25">
      <c r="A383" s="122">
        <f ca="1">'патриотика0,3664'!A450</f>
        <v>0</v>
      </c>
      <c r="B383" s="83" t="s">
        <v>84</v>
      </c>
      <c r="C383" s="83">
        <v>106</v>
      </c>
      <c r="D383" s="163">
        <f>PRODUCT(Лист1!G143,$A$216)</f>
        <v>0.26719999999999999</v>
      </c>
      <c r="E383" s="347">
        <f>Лист1!H143</f>
        <v>0</v>
      </c>
      <c r="F383" s="327">
        <f t="shared" si="14"/>
        <v>0</v>
      </c>
      <c r="G383" s="162"/>
      <c r="H383" s="7"/>
      <c r="I383" s="7"/>
      <c r="J383" s="137"/>
      <c r="K383" s="112"/>
      <c r="L383" s="138"/>
    </row>
    <row r="384" spans="1:12" ht="15.75" hidden="1" x14ac:dyDescent="0.25">
      <c r="A384" s="122">
        <f ca="1">'патриотика0,3664'!A451</f>
        <v>0</v>
      </c>
      <c r="B384" s="83" t="s">
        <v>84</v>
      </c>
      <c r="C384" s="83">
        <v>107</v>
      </c>
      <c r="D384" s="163">
        <f>PRODUCT(Лист1!G144,$A$216)</f>
        <v>0.26719999999999999</v>
      </c>
      <c r="E384" s="347">
        <f>Лист1!H144</f>
        <v>0</v>
      </c>
      <c r="F384" s="327">
        <f t="shared" si="14"/>
        <v>0</v>
      </c>
      <c r="G384" s="162"/>
      <c r="H384" s="7"/>
      <c r="I384" s="7"/>
      <c r="J384" s="137"/>
      <c r="K384" s="112"/>
      <c r="L384" s="138"/>
    </row>
    <row r="385" spans="1:12" ht="15.75" hidden="1" x14ac:dyDescent="0.25">
      <c r="A385" s="122">
        <f ca="1">'патриотика0,3664'!A452</f>
        <v>0</v>
      </c>
      <c r="B385" s="83" t="s">
        <v>84</v>
      </c>
      <c r="C385" s="83">
        <v>108</v>
      </c>
      <c r="D385" s="163">
        <f>PRODUCT(Лист1!G145,$A$216)</f>
        <v>0.26719999999999999</v>
      </c>
      <c r="E385" s="347">
        <f>Лист1!H145</f>
        <v>0</v>
      </c>
      <c r="F385" s="327">
        <f t="shared" si="14"/>
        <v>0</v>
      </c>
      <c r="G385" s="162"/>
      <c r="H385" s="7"/>
      <c r="I385" s="7"/>
      <c r="J385" s="137"/>
      <c r="K385" s="112"/>
      <c r="L385" s="138"/>
    </row>
    <row r="386" spans="1:12" ht="15.75" hidden="1" x14ac:dyDescent="0.25">
      <c r="A386" s="122">
        <f ca="1">'патриотика0,3664'!A453</f>
        <v>0</v>
      </c>
      <c r="B386" s="83" t="s">
        <v>84</v>
      </c>
      <c r="C386" s="83">
        <v>109</v>
      </c>
      <c r="D386" s="163">
        <f>PRODUCT(Лист1!G146,$A$216)</f>
        <v>0.26719999999999999</v>
      </c>
      <c r="E386" s="347">
        <f>Лист1!H146</f>
        <v>0</v>
      </c>
      <c r="F386" s="327">
        <f t="shared" si="14"/>
        <v>0</v>
      </c>
      <c r="G386" s="162"/>
      <c r="H386" s="7"/>
      <c r="I386" s="7"/>
      <c r="J386" s="137"/>
      <c r="K386" s="112"/>
      <c r="L386" s="138"/>
    </row>
    <row r="387" spans="1:12" ht="15.75" hidden="1" x14ac:dyDescent="0.25">
      <c r="A387" s="122">
        <f ca="1">'патриотика0,3664'!A454</f>
        <v>0</v>
      </c>
      <c r="B387" s="83" t="s">
        <v>84</v>
      </c>
      <c r="C387" s="83">
        <v>110</v>
      </c>
      <c r="D387" s="163">
        <f>PRODUCT(Лист1!G147,$A$216)</f>
        <v>0.26719999999999999</v>
      </c>
      <c r="E387" s="347">
        <f>Лист1!H147</f>
        <v>0</v>
      </c>
      <c r="F387" s="327">
        <f t="shared" si="14"/>
        <v>0</v>
      </c>
      <c r="G387" s="162"/>
      <c r="H387" s="7"/>
      <c r="I387" s="7"/>
      <c r="J387" s="137"/>
      <c r="K387" s="112"/>
      <c r="L387" s="138"/>
    </row>
    <row r="388" spans="1:12" ht="15.75" hidden="1" x14ac:dyDescent="0.25">
      <c r="A388" s="122">
        <f ca="1">'патриотика0,3664'!A455</f>
        <v>0</v>
      </c>
      <c r="B388" s="83" t="s">
        <v>84</v>
      </c>
      <c r="C388" s="83">
        <v>111</v>
      </c>
      <c r="D388" s="163">
        <f>PRODUCT(Лист1!G148,$A$216)</f>
        <v>0.26719999999999999</v>
      </c>
      <c r="E388" s="347">
        <f>Лист1!H148</f>
        <v>0</v>
      </c>
      <c r="F388" s="327">
        <f t="shared" si="14"/>
        <v>0</v>
      </c>
      <c r="G388" s="162"/>
      <c r="H388" s="7"/>
      <c r="I388" s="7"/>
      <c r="J388" s="137"/>
      <c r="K388" s="112"/>
      <c r="L388" s="138"/>
    </row>
    <row r="389" spans="1:12" ht="15.75" hidden="1" x14ac:dyDescent="0.25">
      <c r="A389" s="122">
        <f ca="1">'патриотика0,3664'!A456</f>
        <v>0</v>
      </c>
      <c r="B389" s="83" t="s">
        <v>84</v>
      </c>
      <c r="C389" s="215"/>
      <c r="D389" s="163">
        <f>PRODUCT(Лист1!G149,$A$216)</f>
        <v>0.26719999999999999</v>
      </c>
      <c r="E389" s="347">
        <f>Лист1!H149</f>
        <v>0</v>
      </c>
      <c r="F389" s="327">
        <f t="shared" si="14"/>
        <v>0</v>
      </c>
      <c r="G389" s="162"/>
      <c r="H389" s="7"/>
      <c r="I389" s="7"/>
      <c r="J389" s="137"/>
      <c r="K389" s="112"/>
      <c r="L389" s="138"/>
    </row>
    <row r="390" spans="1:12" ht="15.75" hidden="1" x14ac:dyDescent="0.25">
      <c r="A390" s="122">
        <f ca="1">'патриотика0,3664'!A457</f>
        <v>0</v>
      </c>
      <c r="B390" s="83" t="s">
        <v>84</v>
      </c>
      <c r="C390" s="215"/>
      <c r="D390" s="163">
        <f>PRODUCT(Лист1!G150,$A$216)</f>
        <v>0.26719999999999999</v>
      </c>
      <c r="E390" s="347">
        <f>Лист1!H150</f>
        <v>0</v>
      </c>
      <c r="F390" s="327">
        <f t="shared" si="14"/>
        <v>0</v>
      </c>
      <c r="G390" s="162"/>
      <c r="H390" s="7"/>
      <c r="I390" s="7"/>
      <c r="J390" s="137"/>
      <c r="K390" s="112"/>
      <c r="L390" s="138"/>
    </row>
    <row r="391" spans="1:12" ht="15.75" hidden="1" x14ac:dyDescent="0.25">
      <c r="A391" s="122">
        <f ca="1">'патриотика0,3664'!A458</f>
        <v>0</v>
      </c>
      <c r="B391" s="83" t="s">
        <v>84</v>
      </c>
      <c r="C391" s="215"/>
      <c r="D391" s="163">
        <f>PRODUCT(Лист1!G151,$A$216)</f>
        <v>0.26719999999999999</v>
      </c>
      <c r="E391" s="347">
        <f>Лист1!H151</f>
        <v>0</v>
      </c>
      <c r="F391" s="327">
        <f t="shared" si="14"/>
        <v>0</v>
      </c>
      <c r="G391" s="162"/>
      <c r="H391" s="7"/>
      <c r="I391" s="7"/>
      <c r="J391" s="137"/>
      <c r="K391" s="112"/>
      <c r="L391" s="138"/>
    </row>
    <row r="392" spans="1:12" ht="15.75" hidden="1" x14ac:dyDescent="0.25">
      <c r="A392" s="122">
        <f ca="1">'патриотика0,3664'!A459</f>
        <v>0</v>
      </c>
      <c r="B392" s="83" t="s">
        <v>84</v>
      </c>
      <c r="C392" s="215"/>
      <c r="D392" s="163">
        <f>PRODUCT(Лист1!G152,$A$216)</f>
        <v>0.26719999999999999</v>
      </c>
      <c r="E392" s="347">
        <f>Лист1!H152</f>
        <v>0</v>
      </c>
      <c r="F392" s="327">
        <f t="shared" si="14"/>
        <v>0</v>
      </c>
      <c r="G392" s="162"/>
      <c r="H392" s="7"/>
      <c r="I392" s="7"/>
      <c r="J392" s="137"/>
      <c r="K392" s="112"/>
      <c r="L392" s="138"/>
    </row>
    <row r="393" spans="1:12" ht="15.75" hidden="1" x14ac:dyDescent="0.25">
      <c r="A393" s="122">
        <f ca="1">'патриотика0,3664'!A460</f>
        <v>0</v>
      </c>
      <c r="B393" s="83" t="s">
        <v>84</v>
      </c>
      <c r="C393" s="215"/>
      <c r="D393" s="163">
        <f>PRODUCT(Лист1!G153,$A$216)</f>
        <v>0.26719999999999999</v>
      </c>
      <c r="E393" s="347">
        <f>Лист1!H153</f>
        <v>0</v>
      </c>
      <c r="F393" s="327">
        <f t="shared" si="14"/>
        <v>0</v>
      </c>
      <c r="G393" s="162"/>
      <c r="H393" s="7"/>
      <c r="I393" s="7"/>
      <c r="J393" s="137"/>
      <c r="K393" s="112"/>
      <c r="L393" s="138"/>
    </row>
    <row r="394" spans="1:12" ht="15.75" hidden="1" x14ac:dyDescent="0.25">
      <c r="A394" s="122">
        <f ca="1">'патриотика0,3664'!A461</f>
        <v>0</v>
      </c>
      <c r="B394" s="83" t="s">
        <v>84</v>
      </c>
      <c r="C394" s="215"/>
      <c r="D394" s="163">
        <f>PRODUCT(Лист1!G154,$A$216)</f>
        <v>0.26719999999999999</v>
      </c>
      <c r="E394" s="347">
        <f>Лист1!H154</f>
        <v>0</v>
      </c>
      <c r="F394" s="327">
        <f t="shared" si="14"/>
        <v>0</v>
      </c>
      <c r="G394" s="162"/>
      <c r="H394" s="7"/>
      <c r="I394" s="7"/>
      <c r="J394" s="137"/>
      <c r="K394" s="112"/>
      <c r="L394" s="138"/>
    </row>
    <row r="395" spans="1:12" ht="15.75" hidden="1" x14ac:dyDescent="0.25">
      <c r="A395" s="122">
        <f ca="1">'патриотика0,3664'!A462</f>
        <v>0</v>
      </c>
      <c r="B395" s="83" t="s">
        <v>84</v>
      </c>
      <c r="C395" s="215"/>
      <c r="D395" s="163">
        <f>PRODUCT(Лист1!G155,$A$216)</f>
        <v>0.26719999999999999</v>
      </c>
      <c r="E395" s="347">
        <f>Лист1!H155</f>
        <v>0</v>
      </c>
      <c r="F395" s="327">
        <f t="shared" si="14"/>
        <v>0</v>
      </c>
      <c r="G395" s="162"/>
      <c r="H395" s="7"/>
      <c r="I395" s="7"/>
      <c r="J395" s="137"/>
      <c r="K395" s="112"/>
      <c r="L395" s="138"/>
    </row>
    <row r="396" spans="1:12" ht="15.75" hidden="1" x14ac:dyDescent="0.25">
      <c r="A396" s="122">
        <f ca="1">'патриотика0,3664'!A463</f>
        <v>0</v>
      </c>
      <c r="B396" s="83" t="s">
        <v>84</v>
      </c>
      <c r="C396" s="215"/>
      <c r="D396" s="163">
        <f>PRODUCT(Лист1!G156,$A$216)</f>
        <v>0.26719999999999999</v>
      </c>
      <c r="E396" s="347">
        <f>Лист1!H156</f>
        <v>0</v>
      </c>
      <c r="F396" s="327">
        <f t="shared" si="14"/>
        <v>0</v>
      </c>
      <c r="G396" s="162"/>
      <c r="H396" s="7"/>
      <c r="I396" s="7"/>
      <c r="J396" s="137"/>
      <c r="K396" s="112"/>
      <c r="L396" s="138"/>
    </row>
    <row r="397" spans="1:12" ht="15.75" hidden="1" x14ac:dyDescent="0.25">
      <c r="A397" s="122">
        <f ca="1">'патриотика0,3664'!A464</f>
        <v>0</v>
      </c>
      <c r="B397" s="83" t="s">
        <v>84</v>
      </c>
      <c r="C397" s="215"/>
      <c r="D397" s="163">
        <f>PRODUCT(Лист1!G157,$A$216)</f>
        <v>0.26719999999999999</v>
      </c>
      <c r="E397" s="347">
        <f>Лист1!H157</f>
        <v>0</v>
      </c>
      <c r="F397" s="327">
        <f t="shared" si="14"/>
        <v>0</v>
      </c>
      <c r="G397" s="162"/>
      <c r="H397" s="7"/>
      <c r="I397" s="7"/>
      <c r="J397" s="137"/>
      <c r="K397" s="112"/>
      <c r="L397" s="138"/>
    </row>
    <row r="398" spans="1:12" ht="15.75" hidden="1" x14ac:dyDescent="0.25">
      <c r="A398" s="122">
        <f ca="1">'патриотика0,3664'!A465</f>
        <v>0</v>
      </c>
      <c r="B398" s="83" t="s">
        <v>84</v>
      </c>
      <c r="C398" s="215"/>
      <c r="D398" s="163">
        <f>PRODUCT(Лист1!G158,$A$216)</f>
        <v>0.26719999999999999</v>
      </c>
      <c r="E398" s="347">
        <f>Лист1!H158</f>
        <v>0</v>
      </c>
      <c r="F398" s="327">
        <f t="shared" si="14"/>
        <v>0</v>
      </c>
      <c r="G398" s="162"/>
      <c r="H398" s="7"/>
      <c r="I398" s="7"/>
      <c r="J398" s="137"/>
      <c r="K398" s="112"/>
      <c r="L398" s="138"/>
    </row>
    <row r="399" spans="1:12" ht="15.75" hidden="1" x14ac:dyDescent="0.25">
      <c r="A399" s="122">
        <f ca="1">'патриотика0,3664'!A466</f>
        <v>0</v>
      </c>
      <c r="B399" s="83" t="s">
        <v>84</v>
      </c>
      <c r="C399" s="215"/>
      <c r="D399" s="163">
        <f>PRODUCT(Лист1!G159,$A$216)</f>
        <v>0.26719999999999999</v>
      </c>
      <c r="E399" s="347">
        <f>Лист1!H159</f>
        <v>0</v>
      </c>
      <c r="F399" s="327">
        <f t="shared" si="14"/>
        <v>0</v>
      </c>
      <c r="G399" s="162"/>
      <c r="H399" s="7"/>
      <c r="I399" s="7"/>
      <c r="J399" s="137"/>
      <c r="K399" s="112"/>
      <c r="L399" s="138"/>
    </row>
    <row r="400" spans="1:12" ht="15.75" hidden="1" x14ac:dyDescent="0.25">
      <c r="A400" s="122">
        <f ca="1">'патриотика0,3664'!A467</f>
        <v>0</v>
      </c>
      <c r="B400" s="83" t="s">
        <v>84</v>
      </c>
      <c r="C400" s="215"/>
      <c r="D400" s="163">
        <f>PRODUCT(Лист1!G160,$A$216)</f>
        <v>0.26719999999999999</v>
      </c>
      <c r="E400" s="347">
        <f>Лист1!H160</f>
        <v>0</v>
      </c>
      <c r="F400" s="327">
        <f t="shared" si="14"/>
        <v>0</v>
      </c>
      <c r="G400" s="162"/>
      <c r="H400" s="7"/>
      <c r="I400" s="7"/>
      <c r="J400" s="137"/>
      <c r="K400" s="112"/>
      <c r="L400" s="138"/>
    </row>
    <row r="401" spans="1:12" ht="15.75" hidden="1" x14ac:dyDescent="0.25">
      <c r="A401" s="122">
        <f ca="1">'патриотика0,3664'!A468</f>
        <v>0</v>
      </c>
      <c r="B401" s="83" t="s">
        <v>84</v>
      </c>
      <c r="C401" s="215"/>
      <c r="D401" s="163">
        <f>PRODUCT(Лист1!G161,$A$216)</f>
        <v>0.26719999999999999</v>
      </c>
      <c r="E401" s="347">
        <f>Лист1!H161</f>
        <v>0</v>
      </c>
      <c r="F401" s="327">
        <f t="shared" si="14"/>
        <v>0</v>
      </c>
      <c r="G401" s="162"/>
      <c r="H401" s="7"/>
      <c r="I401" s="7"/>
      <c r="J401" s="137"/>
      <c r="K401" s="112"/>
      <c r="L401" s="138"/>
    </row>
    <row r="402" spans="1:12" ht="15.75" hidden="1" x14ac:dyDescent="0.25">
      <c r="A402" s="122">
        <f ca="1">'патриотика0,3664'!A469</f>
        <v>0</v>
      </c>
      <c r="B402" s="83" t="s">
        <v>84</v>
      </c>
      <c r="C402" s="215"/>
      <c r="D402" s="163">
        <f>PRODUCT(Лист1!G162,$A$216)</f>
        <v>0.26719999999999999</v>
      </c>
      <c r="E402" s="347">
        <f>Лист1!H162</f>
        <v>0</v>
      </c>
      <c r="F402" s="327">
        <f t="shared" si="14"/>
        <v>0</v>
      </c>
      <c r="G402" s="162"/>
      <c r="H402" s="7"/>
      <c r="I402" s="7"/>
      <c r="J402" s="137"/>
      <c r="K402" s="112"/>
      <c r="L402" s="138"/>
    </row>
    <row r="403" spans="1:12" ht="15.75" hidden="1" x14ac:dyDescent="0.25">
      <c r="A403" s="122">
        <f ca="1">'патриотика0,3664'!A470</f>
        <v>0</v>
      </c>
      <c r="B403" s="83" t="s">
        <v>84</v>
      </c>
      <c r="C403" s="215"/>
      <c r="D403" s="163">
        <f>PRODUCT(Лист1!G163,$A$216)</f>
        <v>0.26719999999999999</v>
      </c>
      <c r="E403" s="347">
        <f>Лист1!H163</f>
        <v>0</v>
      </c>
      <c r="F403" s="327">
        <f t="shared" si="14"/>
        <v>0</v>
      </c>
      <c r="G403" s="162"/>
      <c r="H403" s="7"/>
      <c r="I403" s="7"/>
      <c r="J403" s="137"/>
      <c r="K403" s="112"/>
      <c r="L403" s="138"/>
    </row>
    <row r="404" spans="1:12" ht="15.75" hidden="1" x14ac:dyDescent="0.25">
      <c r="A404" s="122">
        <f ca="1">'патриотика0,3664'!A471</f>
        <v>0</v>
      </c>
      <c r="B404" s="83" t="s">
        <v>84</v>
      </c>
      <c r="C404" s="215"/>
      <c r="D404" s="163">
        <f>PRODUCT(Лист1!G164,$A$216)</f>
        <v>0.26719999999999999</v>
      </c>
      <c r="E404" s="347">
        <f>Лист1!H164</f>
        <v>0</v>
      </c>
      <c r="F404" s="327">
        <f t="shared" si="14"/>
        <v>0</v>
      </c>
      <c r="G404" s="162"/>
      <c r="H404" s="7"/>
      <c r="I404" s="7"/>
      <c r="J404" s="137"/>
      <c r="K404" s="112"/>
      <c r="L404" s="138"/>
    </row>
    <row r="405" spans="1:12" ht="15.75" hidden="1" x14ac:dyDescent="0.25">
      <c r="A405" s="122">
        <f ca="1">'патриотика0,3664'!A472</f>
        <v>0</v>
      </c>
      <c r="B405" s="83" t="s">
        <v>84</v>
      </c>
      <c r="C405" s="215"/>
      <c r="D405" s="163">
        <f>PRODUCT(Лист1!G165,$A$216)</f>
        <v>0.26719999999999999</v>
      </c>
      <c r="E405" s="347">
        <f>Лист1!H165</f>
        <v>0</v>
      </c>
      <c r="F405" s="327">
        <f t="shared" si="14"/>
        <v>0</v>
      </c>
      <c r="G405" s="162"/>
      <c r="H405" s="7"/>
      <c r="I405" s="7"/>
      <c r="J405" s="137"/>
      <c r="K405" s="112"/>
      <c r="L405" s="138"/>
    </row>
    <row r="406" spans="1:12" ht="15.75" hidden="1" x14ac:dyDescent="0.25">
      <c r="A406" s="122">
        <f ca="1">'патриотика0,3664'!A473</f>
        <v>0</v>
      </c>
      <c r="B406" s="83" t="s">
        <v>84</v>
      </c>
      <c r="C406" s="246"/>
      <c r="D406" s="163">
        <f>PRODUCT(Лист1!G166,$A$216)</f>
        <v>0.26719999999999999</v>
      </c>
      <c r="E406" s="347">
        <f>Лист1!H166</f>
        <v>0</v>
      </c>
      <c r="F406" s="327">
        <f t="shared" si="14"/>
        <v>0</v>
      </c>
      <c r="G406" s="162"/>
      <c r="H406" s="7"/>
      <c r="I406" s="7"/>
      <c r="J406" s="137"/>
      <c r="K406" s="112"/>
      <c r="L406" s="138"/>
    </row>
    <row r="407" spans="1:12" ht="15.75" hidden="1" x14ac:dyDescent="0.25">
      <c r="A407" s="122">
        <f ca="1">'патриотика0,3664'!A474</f>
        <v>0</v>
      </c>
      <c r="B407" s="83" t="s">
        <v>84</v>
      </c>
      <c r="C407" s="246"/>
      <c r="D407" s="163">
        <f>PRODUCT(Лист1!G167,$A$216)</f>
        <v>0.26719999999999999</v>
      </c>
      <c r="E407" s="347">
        <f>Лист1!H167</f>
        <v>0</v>
      </c>
      <c r="F407" s="327">
        <f t="shared" si="14"/>
        <v>0</v>
      </c>
      <c r="G407" s="162"/>
      <c r="H407" s="7"/>
      <c r="I407" s="7"/>
      <c r="J407" s="137"/>
      <c r="K407" s="112"/>
      <c r="L407" s="138"/>
    </row>
    <row r="408" spans="1:12" ht="15.75" hidden="1" x14ac:dyDescent="0.25">
      <c r="A408" s="122">
        <f ca="1">'патриотика0,3664'!A475</f>
        <v>0</v>
      </c>
      <c r="B408" s="83" t="s">
        <v>84</v>
      </c>
      <c r="C408" s="246"/>
      <c r="D408" s="163">
        <f>PRODUCT(Лист1!G168,$A$216)</f>
        <v>0.26719999999999999</v>
      </c>
      <c r="E408" s="347">
        <f>Лист1!H168</f>
        <v>0</v>
      </c>
      <c r="F408" s="327">
        <f t="shared" si="14"/>
        <v>0</v>
      </c>
      <c r="G408" s="162"/>
      <c r="H408" s="7"/>
      <c r="I408" s="7"/>
      <c r="J408" s="137"/>
      <c r="K408" s="112"/>
      <c r="L408" s="138"/>
    </row>
    <row r="409" spans="1:12" ht="15.75" hidden="1" x14ac:dyDescent="0.25">
      <c r="A409" s="122">
        <f ca="1">'патриотика0,3664'!A476</f>
        <v>0</v>
      </c>
      <c r="B409" s="83" t="s">
        <v>84</v>
      </c>
      <c r="C409" s="246"/>
      <c r="D409" s="163">
        <f>PRODUCT(Лист1!G169,$A$216)</f>
        <v>0.26719999999999999</v>
      </c>
      <c r="E409" s="347">
        <f>Лист1!H169</f>
        <v>0</v>
      </c>
      <c r="F409" s="327">
        <f t="shared" si="14"/>
        <v>0</v>
      </c>
      <c r="G409" s="162"/>
      <c r="H409" s="7"/>
      <c r="I409" s="7"/>
      <c r="J409" s="137"/>
      <c r="K409" s="112"/>
      <c r="L409" s="138"/>
    </row>
    <row r="410" spans="1:12" ht="15.75" hidden="1" x14ac:dyDescent="0.25">
      <c r="A410" s="122">
        <f ca="1">'патриотика0,3664'!A477</f>
        <v>0</v>
      </c>
      <c r="B410" s="83" t="s">
        <v>84</v>
      </c>
      <c r="C410" s="246"/>
      <c r="D410" s="163">
        <f>PRODUCT(Лист1!G170,$A$216)</f>
        <v>0.26719999999999999</v>
      </c>
      <c r="E410" s="347">
        <f>Лист1!H170</f>
        <v>0</v>
      </c>
      <c r="F410" s="327">
        <f t="shared" si="14"/>
        <v>0</v>
      </c>
      <c r="G410" s="162"/>
      <c r="H410" s="7"/>
      <c r="I410" s="7"/>
      <c r="J410" s="137"/>
      <c r="K410" s="112"/>
      <c r="L410" s="138"/>
    </row>
    <row r="411" spans="1:12" ht="15.75" hidden="1" x14ac:dyDescent="0.25">
      <c r="A411" s="122">
        <f ca="1">'патриотика0,3664'!A478</f>
        <v>0</v>
      </c>
      <c r="B411" s="83" t="s">
        <v>84</v>
      </c>
      <c r="C411" s="246"/>
      <c r="D411" s="163">
        <f>PRODUCT(Лист1!G171,$A$216)</f>
        <v>0.26719999999999999</v>
      </c>
      <c r="E411" s="347">
        <f>Лист1!H171</f>
        <v>0</v>
      </c>
      <c r="F411" s="327">
        <f t="shared" si="14"/>
        <v>0</v>
      </c>
      <c r="G411" s="162"/>
      <c r="H411" s="7"/>
      <c r="I411" s="7"/>
      <c r="J411" s="137"/>
      <c r="K411" s="112"/>
      <c r="L411" s="138"/>
    </row>
    <row r="412" spans="1:12" ht="15.75" hidden="1" x14ac:dyDescent="0.25">
      <c r="A412" s="122">
        <f ca="1">'патриотика0,3664'!A479</f>
        <v>0</v>
      </c>
      <c r="B412" s="83" t="s">
        <v>84</v>
      </c>
      <c r="C412" s="246"/>
      <c r="D412" s="163">
        <f>PRODUCT(Лист1!G172,$A$216)</f>
        <v>0.26719999999999999</v>
      </c>
      <c r="E412" s="347">
        <f>Лист1!H172</f>
        <v>0</v>
      </c>
      <c r="F412" s="327">
        <f t="shared" si="14"/>
        <v>0</v>
      </c>
      <c r="G412" s="162"/>
      <c r="H412" s="7"/>
      <c r="I412" s="7"/>
      <c r="J412" s="137"/>
      <c r="K412" s="112"/>
      <c r="L412" s="138"/>
    </row>
    <row r="413" spans="1:12" ht="15.75" hidden="1" x14ac:dyDescent="0.25">
      <c r="A413" s="122">
        <f ca="1">'патриотика0,3664'!A480</f>
        <v>0</v>
      </c>
      <c r="B413" s="83" t="s">
        <v>84</v>
      </c>
      <c r="C413" s="246"/>
      <c r="D413" s="163">
        <f>PRODUCT(Лист1!G173,$A$216)</f>
        <v>0.26719999999999999</v>
      </c>
      <c r="E413" s="347">
        <f>Лист1!H173</f>
        <v>0</v>
      </c>
      <c r="F413" s="327">
        <f t="shared" si="14"/>
        <v>0</v>
      </c>
      <c r="G413" s="162"/>
      <c r="H413" s="7"/>
      <c r="I413" s="7"/>
      <c r="J413" s="137"/>
      <c r="K413" s="112"/>
      <c r="L413" s="138"/>
    </row>
    <row r="414" spans="1:12" ht="15.75" hidden="1" x14ac:dyDescent="0.25">
      <c r="A414" s="122">
        <f ca="1">'патриотика0,3664'!A481</f>
        <v>0</v>
      </c>
      <c r="B414" s="83" t="s">
        <v>84</v>
      </c>
      <c r="C414" s="246"/>
      <c r="D414" s="163">
        <f>PRODUCT(Лист1!G174,$A$216)</f>
        <v>0.26719999999999999</v>
      </c>
      <c r="E414" s="347">
        <f>Лист1!H174</f>
        <v>0</v>
      </c>
      <c r="F414" s="327">
        <f t="shared" si="14"/>
        <v>0</v>
      </c>
      <c r="G414" s="162"/>
      <c r="H414" s="7"/>
      <c r="I414" s="7"/>
      <c r="J414" s="137"/>
      <c r="K414" s="112"/>
      <c r="L414" s="138"/>
    </row>
    <row r="415" spans="1:12" ht="15.75" hidden="1" x14ac:dyDescent="0.25">
      <c r="A415" s="122">
        <f ca="1">'патриотика0,3664'!A482</f>
        <v>0</v>
      </c>
      <c r="B415" s="83" t="s">
        <v>84</v>
      </c>
      <c r="C415" s="246"/>
      <c r="D415" s="163">
        <f>PRODUCT(Лист1!G175,$A$216)</f>
        <v>0.26719999999999999</v>
      </c>
      <c r="E415" s="347">
        <f>Лист1!H175</f>
        <v>0</v>
      </c>
      <c r="F415" s="327">
        <f t="shared" si="14"/>
        <v>0</v>
      </c>
      <c r="G415" s="162"/>
      <c r="H415" s="7"/>
      <c r="I415" s="7"/>
      <c r="J415" s="137"/>
      <c r="K415" s="112"/>
      <c r="L415" s="138"/>
    </row>
    <row r="416" spans="1:12" ht="15.75" hidden="1" x14ac:dyDescent="0.25">
      <c r="A416" s="122">
        <f ca="1">'патриотика0,3664'!A483</f>
        <v>0</v>
      </c>
      <c r="B416" s="83" t="s">
        <v>84</v>
      </c>
      <c r="C416" s="246"/>
      <c r="D416" s="163">
        <f>PRODUCT(Лист1!G176,$A$216)</f>
        <v>0.26719999999999999</v>
      </c>
      <c r="E416" s="347">
        <f>Лист1!H176</f>
        <v>0</v>
      </c>
      <c r="F416" s="327">
        <f t="shared" si="14"/>
        <v>0</v>
      </c>
      <c r="G416" s="162"/>
      <c r="H416" s="7"/>
      <c r="I416" s="7"/>
      <c r="J416" s="137"/>
      <c r="K416" s="112"/>
      <c r="L416" s="138"/>
    </row>
    <row r="417" spans="1:12" ht="15.75" hidden="1" x14ac:dyDescent="0.25">
      <c r="A417" s="122">
        <f ca="1">'патриотика0,3664'!A484</f>
        <v>0</v>
      </c>
      <c r="B417" s="83" t="s">
        <v>84</v>
      </c>
      <c r="C417" s="246"/>
      <c r="D417" s="163">
        <f>PRODUCT(Лист1!G177,$A$216)</f>
        <v>0.26719999999999999</v>
      </c>
      <c r="E417" s="347">
        <f>Лист1!H177</f>
        <v>0</v>
      </c>
      <c r="F417" s="327">
        <f t="shared" si="14"/>
        <v>0</v>
      </c>
      <c r="G417" s="162"/>
      <c r="H417" s="7"/>
      <c r="I417" s="7"/>
      <c r="J417" s="137"/>
      <c r="K417" s="112"/>
      <c r="L417" s="138"/>
    </row>
    <row r="418" spans="1:12" ht="15.75" hidden="1" x14ac:dyDescent="0.25">
      <c r="A418" s="122">
        <f ca="1">'патриотика0,3664'!A485</f>
        <v>0</v>
      </c>
      <c r="B418" s="83" t="s">
        <v>84</v>
      </c>
      <c r="C418" s="246"/>
      <c r="D418" s="163">
        <f>PRODUCT(Лист1!G178,$A$216)</f>
        <v>0.26719999999999999</v>
      </c>
      <c r="E418" s="347">
        <f>Лист1!H178</f>
        <v>0</v>
      </c>
      <c r="F418" s="327">
        <f t="shared" si="14"/>
        <v>0</v>
      </c>
      <c r="G418" s="162"/>
      <c r="H418" s="7"/>
      <c r="I418" s="7"/>
      <c r="J418" s="137"/>
      <c r="K418" s="112"/>
      <c r="L418" s="138"/>
    </row>
    <row r="419" spans="1:12" ht="15.75" hidden="1" x14ac:dyDescent="0.25">
      <c r="A419" s="122">
        <f ca="1">'патриотика0,3664'!A486</f>
        <v>0</v>
      </c>
      <c r="B419" s="83" t="s">
        <v>84</v>
      </c>
      <c r="C419" s="246"/>
      <c r="D419" s="163">
        <f>PRODUCT(Лист1!G179,$A$216)</f>
        <v>0.26719999999999999</v>
      </c>
      <c r="E419" s="347">
        <f>Лист1!H179</f>
        <v>0</v>
      </c>
      <c r="F419" s="327">
        <f t="shared" si="14"/>
        <v>0</v>
      </c>
      <c r="G419" s="162"/>
      <c r="H419" s="7"/>
      <c r="I419" s="7"/>
      <c r="J419" s="137"/>
      <c r="K419" s="112"/>
      <c r="L419" s="138"/>
    </row>
    <row r="420" spans="1:12" ht="15.75" hidden="1" x14ac:dyDescent="0.25">
      <c r="A420" s="122">
        <f ca="1">'патриотика0,3664'!A487</f>
        <v>0</v>
      </c>
      <c r="B420" s="83" t="s">
        <v>84</v>
      </c>
      <c r="C420" s="246"/>
      <c r="D420" s="163">
        <f>PRODUCT(Лист1!G180,$A$216)</f>
        <v>0.26719999999999999</v>
      </c>
      <c r="E420" s="347">
        <f>Лист1!H180</f>
        <v>0</v>
      </c>
      <c r="F420" s="327">
        <f t="shared" si="14"/>
        <v>0</v>
      </c>
      <c r="G420" s="162"/>
      <c r="H420" s="7"/>
      <c r="I420" s="7"/>
      <c r="J420" s="137"/>
      <c r="K420" s="112"/>
      <c r="L420" s="138"/>
    </row>
    <row r="421" spans="1:12" ht="15.75" hidden="1" x14ac:dyDescent="0.25">
      <c r="A421" s="122">
        <f ca="1">'патриотика0,3664'!A488</f>
        <v>0</v>
      </c>
      <c r="B421" s="83" t="s">
        <v>84</v>
      </c>
      <c r="C421" s="246"/>
      <c r="D421" s="163">
        <f>PRODUCT(Лист1!G181,$A$216)</f>
        <v>0.26719999999999999</v>
      </c>
      <c r="E421" s="347">
        <f>Лист1!H181</f>
        <v>0</v>
      </c>
      <c r="F421" s="327">
        <f t="shared" ref="F421:F466" si="15">D421*E421</f>
        <v>0</v>
      </c>
      <c r="G421" s="162"/>
      <c r="H421" s="7"/>
      <c r="I421" s="7"/>
      <c r="J421" s="137"/>
      <c r="K421" s="112"/>
      <c r="L421" s="138"/>
    </row>
    <row r="422" spans="1:12" ht="15.75" hidden="1" x14ac:dyDescent="0.25">
      <c r="A422" s="122">
        <f ca="1">'патриотика0,3664'!A489</f>
        <v>0</v>
      </c>
      <c r="B422" s="83" t="s">
        <v>84</v>
      </c>
      <c r="C422" s="246"/>
      <c r="D422" s="163">
        <f>PRODUCT(Лист1!G182,$A$216)</f>
        <v>0.26719999999999999</v>
      </c>
      <c r="E422" s="347">
        <f>Лист1!H182</f>
        <v>0</v>
      </c>
      <c r="F422" s="327">
        <f t="shared" si="15"/>
        <v>0</v>
      </c>
      <c r="G422" s="162"/>
      <c r="H422" s="7"/>
      <c r="I422" s="7"/>
      <c r="J422" s="137"/>
      <c r="K422" s="112"/>
      <c r="L422" s="138"/>
    </row>
    <row r="423" spans="1:12" ht="15.75" hidden="1" x14ac:dyDescent="0.25">
      <c r="A423" s="122">
        <f ca="1">'патриотика0,3664'!A490</f>
        <v>0</v>
      </c>
      <c r="B423" s="83" t="s">
        <v>84</v>
      </c>
      <c r="C423" s="215"/>
      <c r="D423" s="163">
        <f>PRODUCT(Лист1!G183,$A$216)</f>
        <v>0.26719999999999999</v>
      </c>
      <c r="E423" s="347">
        <f>Лист1!H183</f>
        <v>0</v>
      </c>
      <c r="F423" s="327">
        <f t="shared" si="15"/>
        <v>0</v>
      </c>
      <c r="G423" s="162"/>
      <c r="H423" s="7"/>
      <c r="I423" s="7"/>
      <c r="J423" s="137"/>
      <c r="K423" s="112"/>
      <c r="L423" s="138"/>
    </row>
    <row r="424" spans="1:12" ht="15.75" hidden="1" x14ac:dyDescent="0.25">
      <c r="A424" s="122">
        <f ca="1">'патриотика0,3664'!A491</f>
        <v>0</v>
      </c>
      <c r="B424" s="83" t="s">
        <v>84</v>
      </c>
      <c r="C424" s="215"/>
      <c r="D424" s="163">
        <f>PRODUCT(Лист1!G184,$A$216)</f>
        <v>0.26719999999999999</v>
      </c>
      <c r="E424" s="347">
        <f>Лист1!H184</f>
        <v>0</v>
      </c>
      <c r="F424" s="327">
        <f t="shared" si="15"/>
        <v>0</v>
      </c>
      <c r="G424" s="162"/>
      <c r="H424" s="7"/>
      <c r="I424" s="7"/>
      <c r="J424" s="137"/>
      <c r="K424" s="112"/>
      <c r="L424" s="138"/>
    </row>
    <row r="425" spans="1:12" ht="15.75" hidden="1" x14ac:dyDescent="0.25">
      <c r="A425" s="122">
        <f ca="1">'патриотика0,3664'!A492</f>
        <v>0</v>
      </c>
      <c r="B425" s="83" t="s">
        <v>84</v>
      </c>
      <c r="C425" s="215"/>
      <c r="D425" s="163">
        <f>PRODUCT(Лист1!G185,$A$216)</f>
        <v>0.26719999999999999</v>
      </c>
      <c r="E425" s="347">
        <f>Лист1!H185</f>
        <v>0</v>
      </c>
      <c r="F425" s="327">
        <f t="shared" si="15"/>
        <v>0</v>
      </c>
      <c r="G425" s="162"/>
      <c r="H425" s="7"/>
      <c r="I425" s="7"/>
      <c r="J425" s="137"/>
      <c r="K425" s="112"/>
      <c r="L425" s="138"/>
    </row>
    <row r="426" spans="1:12" ht="15.75" hidden="1" x14ac:dyDescent="0.25">
      <c r="A426" s="122">
        <f ca="1">'патриотика0,3664'!A493</f>
        <v>0</v>
      </c>
      <c r="B426" s="83" t="s">
        <v>84</v>
      </c>
      <c r="C426" s="215"/>
      <c r="D426" s="163">
        <f>PRODUCT(Лист1!G186,$A$216)</f>
        <v>0.26719999999999999</v>
      </c>
      <c r="E426" s="347">
        <f>Лист1!H186</f>
        <v>0</v>
      </c>
      <c r="F426" s="327">
        <f t="shared" si="15"/>
        <v>0</v>
      </c>
      <c r="G426" s="162"/>
      <c r="H426" s="7"/>
      <c r="I426" s="7"/>
      <c r="J426" s="137"/>
      <c r="K426" s="112"/>
      <c r="L426" s="138"/>
    </row>
    <row r="427" spans="1:12" ht="15.75" hidden="1" x14ac:dyDescent="0.25">
      <c r="A427" s="122">
        <f ca="1">'патриотика0,3664'!A494</f>
        <v>0</v>
      </c>
      <c r="B427" s="83" t="s">
        <v>84</v>
      </c>
      <c r="C427" s="215"/>
      <c r="D427" s="163">
        <f>PRODUCT(Лист1!G187,$A$216)</f>
        <v>0.26719999999999999</v>
      </c>
      <c r="E427" s="347">
        <f>Лист1!H187</f>
        <v>0</v>
      </c>
      <c r="F427" s="327">
        <f t="shared" si="15"/>
        <v>0</v>
      </c>
      <c r="G427" s="162"/>
      <c r="H427" s="7"/>
      <c r="I427" s="7"/>
      <c r="J427" s="137"/>
      <c r="K427" s="112"/>
      <c r="L427" s="138"/>
    </row>
    <row r="428" spans="1:12" ht="15.75" hidden="1" x14ac:dyDescent="0.25">
      <c r="A428" s="122">
        <f ca="1">'патриотика0,3664'!A495</f>
        <v>0</v>
      </c>
      <c r="B428" s="83" t="s">
        <v>84</v>
      </c>
      <c r="C428" s="215"/>
      <c r="D428" s="163">
        <f>PRODUCT(Лист1!G188,$A$216)</f>
        <v>0.26719999999999999</v>
      </c>
      <c r="E428" s="347">
        <f>Лист1!H188</f>
        <v>0</v>
      </c>
      <c r="F428" s="327">
        <f t="shared" si="15"/>
        <v>0</v>
      </c>
      <c r="G428" s="162"/>
      <c r="H428" s="7"/>
      <c r="I428" s="7"/>
      <c r="J428" s="137"/>
      <c r="K428" s="112"/>
      <c r="L428" s="138"/>
    </row>
    <row r="429" spans="1:12" ht="15.75" hidden="1" x14ac:dyDescent="0.25">
      <c r="A429" s="122">
        <f ca="1">'патриотика0,3664'!A496</f>
        <v>0</v>
      </c>
      <c r="B429" s="83" t="s">
        <v>84</v>
      </c>
      <c r="C429" s="215"/>
      <c r="D429" s="163">
        <f>PRODUCT(Лист1!G189,$A$216)</f>
        <v>0.26719999999999999</v>
      </c>
      <c r="E429" s="347">
        <f>Лист1!H189</f>
        <v>0</v>
      </c>
      <c r="F429" s="327">
        <f t="shared" si="15"/>
        <v>0</v>
      </c>
      <c r="G429" s="162"/>
      <c r="H429" s="7"/>
      <c r="I429" s="7"/>
      <c r="J429" s="137"/>
      <c r="K429" s="112"/>
      <c r="L429" s="138"/>
    </row>
    <row r="430" spans="1:12" ht="14.25" hidden="1" customHeight="1" x14ac:dyDescent="0.25">
      <c r="A430" s="122">
        <f ca="1">'патриотика0,3664'!A497</f>
        <v>0</v>
      </c>
      <c r="B430" s="83" t="s">
        <v>84</v>
      </c>
      <c r="C430" s="215"/>
      <c r="D430" s="163">
        <f>PRODUCT(Лист1!G190,$A$216)</f>
        <v>0.26719999999999999</v>
      </c>
      <c r="E430" s="347">
        <f>Лист1!H190</f>
        <v>0</v>
      </c>
      <c r="F430" s="327">
        <f t="shared" si="15"/>
        <v>0</v>
      </c>
      <c r="G430" s="162"/>
      <c r="H430" s="7"/>
      <c r="I430" s="7"/>
      <c r="J430" s="137"/>
      <c r="K430" s="112"/>
      <c r="L430" s="138"/>
    </row>
    <row r="431" spans="1:12" ht="14.25" hidden="1" customHeight="1" x14ac:dyDescent="0.25">
      <c r="A431" s="122">
        <f ca="1">'патриотика0,3664'!A498</f>
        <v>0</v>
      </c>
      <c r="B431" s="83" t="s">
        <v>84</v>
      </c>
      <c r="C431" s="215"/>
      <c r="D431" s="163">
        <f>PRODUCT(Лист1!G191,$A$216)</f>
        <v>0.26719999999999999</v>
      </c>
      <c r="E431" s="347">
        <f>Лист1!H191</f>
        <v>0</v>
      </c>
      <c r="F431" s="327">
        <f t="shared" si="15"/>
        <v>0</v>
      </c>
      <c r="G431" s="162"/>
      <c r="H431" s="7"/>
      <c r="I431" s="7"/>
      <c r="J431" s="137"/>
      <c r="K431" s="112"/>
      <c r="L431" s="138"/>
    </row>
    <row r="432" spans="1:12" ht="14.25" hidden="1" customHeight="1" x14ac:dyDescent="0.25">
      <c r="A432" s="122">
        <f ca="1">'патриотика0,3664'!A499</f>
        <v>0</v>
      </c>
      <c r="B432" s="83" t="s">
        <v>84</v>
      </c>
      <c r="C432" s="215"/>
      <c r="D432" s="163">
        <f>PRODUCT(Лист1!G192,$A$216)</f>
        <v>0.26719999999999999</v>
      </c>
      <c r="E432" s="347">
        <f>Лист1!H192</f>
        <v>0</v>
      </c>
      <c r="F432" s="327">
        <f t="shared" si="15"/>
        <v>0</v>
      </c>
      <c r="G432" s="162"/>
      <c r="H432" s="7"/>
      <c r="I432" s="7"/>
      <c r="J432" s="137"/>
      <c r="K432" s="112"/>
      <c r="L432" s="138"/>
    </row>
    <row r="433" spans="1:12" ht="14.25" hidden="1" customHeight="1" x14ac:dyDescent="0.25">
      <c r="A433" s="122">
        <f ca="1">'патриотика0,3664'!A500</f>
        <v>0</v>
      </c>
      <c r="B433" s="83" t="s">
        <v>84</v>
      </c>
      <c r="C433" s="215"/>
      <c r="D433" s="163">
        <f>PRODUCT(Лист1!G193,$A$216)</f>
        <v>0.26719999999999999</v>
      </c>
      <c r="E433" s="347">
        <f>Лист1!H193</f>
        <v>0</v>
      </c>
      <c r="F433" s="327">
        <f t="shared" si="15"/>
        <v>0</v>
      </c>
      <c r="G433" s="162"/>
      <c r="H433" s="7"/>
      <c r="I433" s="7"/>
      <c r="J433" s="137"/>
      <c r="K433" s="112"/>
      <c r="L433" s="138"/>
    </row>
    <row r="434" spans="1:12" ht="14.25" hidden="1" customHeight="1" x14ac:dyDescent="0.25">
      <c r="A434" s="122">
        <f ca="1">'патриотика0,3664'!A501</f>
        <v>0</v>
      </c>
      <c r="B434" s="83" t="s">
        <v>84</v>
      </c>
      <c r="C434" s="215"/>
      <c r="D434" s="163">
        <f>PRODUCT(Лист1!G194,$A$216)</f>
        <v>0.26719999999999999</v>
      </c>
      <c r="E434" s="347">
        <f>Лист1!H194</f>
        <v>0</v>
      </c>
      <c r="F434" s="327">
        <f t="shared" si="15"/>
        <v>0</v>
      </c>
      <c r="G434" s="162"/>
      <c r="H434" s="7"/>
      <c r="I434" s="7"/>
      <c r="J434" s="137"/>
      <c r="K434" s="112"/>
      <c r="L434" s="138"/>
    </row>
    <row r="435" spans="1:12" ht="14.25" hidden="1" customHeight="1" x14ac:dyDescent="0.25">
      <c r="A435" s="122">
        <f ca="1">'патриотика0,3664'!A502</f>
        <v>0</v>
      </c>
      <c r="B435" s="83" t="s">
        <v>84</v>
      </c>
      <c r="C435" s="215"/>
      <c r="D435" s="163">
        <f>PRODUCT(Лист1!G195,$A$216)</f>
        <v>0.26719999999999999</v>
      </c>
      <c r="E435" s="347">
        <f>Лист1!H195</f>
        <v>0</v>
      </c>
      <c r="F435" s="327">
        <f t="shared" si="15"/>
        <v>0</v>
      </c>
      <c r="G435" s="162"/>
      <c r="H435" s="7"/>
      <c r="I435" s="7"/>
      <c r="J435" s="137"/>
      <c r="K435" s="112"/>
      <c r="L435" s="138"/>
    </row>
    <row r="436" spans="1:12" ht="14.25" hidden="1" customHeight="1" x14ac:dyDescent="0.25">
      <c r="A436" s="122">
        <f ca="1">'патриотика0,3664'!A503</f>
        <v>0</v>
      </c>
      <c r="B436" s="83" t="s">
        <v>84</v>
      </c>
      <c r="C436" s="215"/>
      <c r="D436" s="163">
        <f>PRODUCT(Лист1!G196,$A$216)</f>
        <v>0.26719999999999999</v>
      </c>
      <c r="E436" s="347">
        <f>Лист1!H196</f>
        <v>0</v>
      </c>
      <c r="F436" s="327">
        <f t="shared" si="15"/>
        <v>0</v>
      </c>
      <c r="G436" s="162"/>
      <c r="H436" s="7"/>
      <c r="I436" s="7"/>
      <c r="J436" s="137"/>
      <c r="K436" s="112"/>
      <c r="L436" s="138"/>
    </row>
    <row r="437" spans="1:12" ht="14.25" hidden="1" customHeight="1" x14ac:dyDescent="0.25">
      <c r="A437" s="122">
        <f ca="1">'патриотика0,3664'!A504</f>
        <v>0</v>
      </c>
      <c r="B437" s="83" t="s">
        <v>84</v>
      </c>
      <c r="C437" s="215"/>
      <c r="D437" s="163">
        <f>PRODUCT(Лист1!G197,$A$216)</f>
        <v>0.26719999999999999</v>
      </c>
      <c r="E437" s="347">
        <f>Лист1!H197</f>
        <v>0</v>
      </c>
      <c r="F437" s="327">
        <f t="shared" si="15"/>
        <v>0</v>
      </c>
      <c r="G437" s="162"/>
      <c r="H437" s="7"/>
      <c r="I437" s="7"/>
      <c r="J437" s="137"/>
      <c r="K437" s="112"/>
      <c r="L437" s="138"/>
    </row>
    <row r="438" spans="1:12" ht="14.25" hidden="1" customHeight="1" x14ac:dyDescent="0.25">
      <c r="A438" s="122">
        <f ca="1">'патриотика0,3664'!A505</f>
        <v>0</v>
      </c>
      <c r="B438" s="83" t="s">
        <v>84</v>
      </c>
      <c r="C438" s="215"/>
      <c r="D438" s="163">
        <f>PRODUCT(Лист1!G198,$A$216)</f>
        <v>0.26719999999999999</v>
      </c>
      <c r="E438" s="347">
        <f>Лист1!H198</f>
        <v>0</v>
      </c>
      <c r="F438" s="327">
        <f t="shared" si="15"/>
        <v>0</v>
      </c>
      <c r="G438" s="162"/>
      <c r="H438" s="7"/>
      <c r="I438" s="7"/>
      <c r="J438" s="137"/>
      <c r="K438" s="112"/>
      <c r="L438" s="138"/>
    </row>
    <row r="439" spans="1:12" ht="14.25" hidden="1" customHeight="1" x14ac:dyDescent="0.25">
      <c r="A439" s="122">
        <f ca="1">'патриотика0,3664'!A506</f>
        <v>0</v>
      </c>
      <c r="B439" s="83" t="s">
        <v>84</v>
      </c>
      <c r="C439" s="215"/>
      <c r="D439" s="163">
        <f>PRODUCT(Лист1!G199,$A$216)</f>
        <v>0.26719999999999999</v>
      </c>
      <c r="E439" s="347">
        <f>Лист1!H199</f>
        <v>0</v>
      </c>
      <c r="F439" s="327">
        <f t="shared" si="15"/>
        <v>0</v>
      </c>
      <c r="G439" s="162"/>
      <c r="H439" s="7"/>
      <c r="I439" s="7"/>
      <c r="J439" s="137"/>
      <c r="K439" s="112"/>
      <c r="L439" s="138"/>
    </row>
    <row r="440" spans="1:12" ht="14.25" hidden="1" customHeight="1" x14ac:dyDescent="0.25">
      <c r="A440" s="122">
        <f ca="1">'патриотика0,3664'!A507</f>
        <v>0</v>
      </c>
      <c r="B440" s="83" t="s">
        <v>84</v>
      </c>
      <c r="C440" s="215"/>
      <c r="D440" s="163">
        <f>PRODUCT(Лист1!G200,$A$216)</f>
        <v>0.26719999999999999</v>
      </c>
      <c r="E440" s="347">
        <f>Лист1!H200</f>
        <v>0</v>
      </c>
      <c r="F440" s="327">
        <f t="shared" si="15"/>
        <v>0</v>
      </c>
      <c r="G440" s="162"/>
      <c r="H440" s="7"/>
      <c r="I440" s="7"/>
      <c r="J440" s="137"/>
      <c r="K440" s="112"/>
      <c r="L440" s="138"/>
    </row>
    <row r="441" spans="1:12" ht="14.25" hidden="1" customHeight="1" x14ac:dyDescent="0.25">
      <c r="A441" s="122">
        <f ca="1">'патриотика0,3664'!A508</f>
        <v>0</v>
      </c>
      <c r="B441" s="83" t="s">
        <v>84</v>
      </c>
      <c r="C441" s="215"/>
      <c r="D441" s="163">
        <f>PRODUCT(Лист1!G201,$A$216)</f>
        <v>0.26719999999999999</v>
      </c>
      <c r="E441" s="347">
        <f>Лист1!H201</f>
        <v>0</v>
      </c>
      <c r="F441" s="327">
        <f t="shared" si="15"/>
        <v>0</v>
      </c>
      <c r="G441" s="162"/>
      <c r="H441" s="7"/>
      <c r="I441" s="7"/>
      <c r="J441" s="137"/>
      <c r="K441" s="112"/>
      <c r="L441" s="138"/>
    </row>
    <row r="442" spans="1:12" ht="14.25" hidden="1" customHeight="1" x14ac:dyDescent="0.25">
      <c r="A442" s="122">
        <f ca="1">'патриотика0,3664'!A509</f>
        <v>0</v>
      </c>
      <c r="B442" s="83" t="s">
        <v>84</v>
      </c>
      <c r="C442" s="215"/>
      <c r="D442" s="163">
        <f>PRODUCT(Лист1!G202,$A$216)</f>
        <v>0.26719999999999999</v>
      </c>
      <c r="E442" s="347">
        <f>Лист1!H202</f>
        <v>0</v>
      </c>
      <c r="F442" s="327">
        <f t="shared" si="15"/>
        <v>0</v>
      </c>
      <c r="G442" s="162"/>
      <c r="H442" s="7"/>
      <c r="I442" s="7"/>
      <c r="J442" s="137"/>
      <c r="K442" s="112"/>
      <c r="L442" s="138"/>
    </row>
    <row r="443" spans="1:12" ht="15.75" hidden="1" x14ac:dyDescent="0.25">
      <c r="A443" s="122">
        <f ca="1">'патриотика0,3664'!A510</f>
        <v>0</v>
      </c>
      <c r="B443" s="83" t="s">
        <v>84</v>
      </c>
      <c r="C443" s="215"/>
      <c r="D443" s="163">
        <f>PRODUCT(Лист1!G203,$A$216)</f>
        <v>0.26719999999999999</v>
      </c>
      <c r="E443" s="347">
        <f>Лист1!H203</f>
        <v>0</v>
      </c>
      <c r="F443" s="327">
        <f t="shared" si="15"/>
        <v>0</v>
      </c>
      <c r="G443" s="162"/>
      <c r="H443" s="7"/>
      <c r="I443" s="7"/>
      <c r="J443" s="137"/>
      <c r="K443" s="112"/>
      <c r="L443" s="138"/>
    </row>
    <row r="444" spans="1:12" ht="15.75" hidden="1" x14ac:dyDescent="0.25">
      <c r="A444" s="122">
        <f ca="1">'патриотика0,3664'!A511</f>
        <v>0</v>
      </c>
      <c r="B444" s="83" t="s">
        <v>84</v>
      </c>
      <c r="C444" s="215"/>
      <c r="D444" s="163">
        <f>PRODUCT(Лист1!G204,$A$216)</f>
        <v>0.26719999999999999</v>
      </c>
      <c r="E444" s="347">
        <f>Лист1!H204</f>
        <v>0</v>
      </c>
      <c r="F444" s="327">
        <f t="shared" si="15"/>
        <v>0</v>
      </c>
      <c r="G444" s="162"/>
      <c r="H444" s="7"/>
      <c r="I444" s="7"/>
      <c r="J444" s="137"/>
      <c r="K444" s="112"/>
      <c r="L444" s="138"/>
    </row>
    <row r="445" spans="1:12" ht="15.75" hidden="1" x14ac:dyDescent="0.25">
      <c r="A445" s="122">
        <f ca="1">'патриотика0,3664'!A512</f>
        <v>0</v>
      </c>
      <c r="B445" s="83" t="s">
        <v>84</v>
      </c>
      <c r="C445" s="215"/>
      <c r="D445" s="163">
        <f>PRODUCT(Лист1!G205,$A$216)</f>
        <v>0.26719999999999999</v>
      </c>
      <c r="E445" s="347">
        <f>Лист1!H205</f>
        <v>0</v>
      </c>
      <c r="F445" s="327">
        <f t="shared" si="15"/>
        <v>0</v>
      </c>
      <c r="G445" s="162"/>
      <c r="H445" s="7"/>
      <c r="I445" s="7"/>
      <c r="J445" s="137"/>
      <c r="K445" s="112"/>
      <c r="L445" s="138"/>
    </row>
    <row r="446" spans="1:12" ht="15.75" hidden="1" x14ac:dyDescent="0.25">
      <c r="A446" s="122">
        <f ca="1">'патриотика0,3664'!A513</f>
        <v>0</v>
      </c>
      <c r="B446" s="83" t="s">
        <v>84</v>
      </c>
      <c r="C446" s="215"/>
      <c r="D446" s="163">
        <f>PRODUCT(Лист1!G206,$A$216)</f>
        <v>0.26719999999999999</v>
      </c>
      <c r="E446" s="347">
        <f>Лист1!H206</f>
        <v>0</v>
      </c>
      <c r="F446" s="327">
        <f t="shared" si="15"/>
        <v>0</v>
      </c>
      <c r="G446" s="162"/>
      <c r="H446" s="7"/>
      <c r="I446" s="7"/>
      <c r="J446" s="137"/>
      <c r="K446" s="112"/>
      <c r="L446" s="138"/>
    </row>
    <row r="447" spans="1:12" ht="15.75" hidden="1" x14ac:dyDescent="0.25">
      <c r="A447" s="122">
        <f ca="1">'патриотика0,3664'!A514</f>
        <v>0</v>
      </c>
      <c r="B447" s="83" t="s">
        <v>84</v>
      </c>
      <c r="C447" s="215"/>
      <c r="D447" s="163">
        <f>PRODUCT(Лист1!G207,$A$216)</f>
        <v>0.26719999999999999</v>
      </c>
      <c r="E447" s="347">
        <f>Лист1!H207</f>
        <v>0</v>
      </c>
      <c r="F447" s="327">
        <f t="shared" si="15"/>
        <v>0</v>
      </c>
      <c r="G447" s="162"/>
      <c r="H447" s="7"/>
      <c r="I447" s="7"/>
      <c r="J447" s="137"/>
      <c r="K447" s="112"/>
      <c r="L447" s="138"/>
    </row>
    <row r="448" spans="1:12" ht="15.75" hidden="1" x14ac:dyDescent="0.25">
      <c r="A448" s="122">
        <f ca="1">'патриотика0,3664'!A515</f>
        <v>0</v>
      </c>
      <c r="B448" s="83" t="s">
        <v>84</v>
      </c>
      <c r="C448" s="215"/>
      <c r="D448" s="163">
        <f>PRODUCT(Лист1!G208,$A$216)</f>
        <v>0.26719999999999999</v>
      </c>
      <c r="E448" s="347">
        <f>Лист1!H208</f>
        <v>0</v>
      </c>
      <c r="F448" s="327">
        <f t="shared" si="15"/>
        <v>0</v>
      </c>
      <c r="G448" s="162"/>
      <c r="H448" s="7"/>
      <c r="I448" s="7"/>
      <c r="J448" s="137"/>
      <c r="K448" s="112"/>
      <c r="L448" s="138"/>
    </row>
    <row r="449" spans="1:12" ht="15.75" hidden="1" x14ac:dyDescent="0.25">
      <c r="A449" s="122">
        <f ca="1">'патриотика0,3664'!A516</f>
        <v>0</v>
      </c>
      <c r="B449" s="83" t="s">
        <v>84</v>
      </c>
      <c r="C449" s="215"/>
      <c r="D449" s="163">
        <f>PRODUCT(Лист1!G209,$A$216)</f>
        <v>0.26719999999999999</v>
      </c>
      <c r="E449" s="347">
        <f>Лист1!H209</f>
        <v>0</v>
      </c>
      <c r="F449" s="327">
        <f t="shared" si="15"/>
        <v>0</v>
      </c>
      <c r="G449" s="162"/>
      <c r="H449" s="7"/>
      <c r="I449" s="7"/>
      <c r="J449" s="137"/>
      <c r="K449" s="112"/>
      <c r="L449" s="138"/>
    </row>
    <row r="450" spans="1:12" ht="15.75" hidden="1" x14ac:dyDescent="0.25">
      <c r="A450" s="122">
        <f ca="1">'патриотика0,3664'!A517</f>
        <v>0</v>
      </c>
      <c r="B450" s="83" t="s">
        <v>84</v>
      </c>
      <c r="C450" s="215"/>
      <c r="D450" s="163">
        <f>PRODUCT(Лист1!G210,$A$216)</f>
        <v>0.26719999999999999</v>
      </c>
      <c r="E450" s="347">
        <f>Лист1!H210</f>
        <v>0</v>
      </c>
      <c r="F450" s="327">
        <f t="shared" si="15"/>
        <v>0</v>
      </c>
      <c r="G450" s="162"/>
      <c r="H450" s="7"/>
      <c r="I450" s="7"/>
      <c r="J450" s="137"/>
      <c r="K450" s="112"/>
      <c r="L450" s="138"/>
    </row>
    <row r="451" spans="1:12" ht="15.75" hidden="1" x14ac:dyDescent="0.25">
      <c r="A451" s="122">
        <f ca="1">'патриотика0,3664'!A518</f>
        <v>0</v>
      </c>
      <c r="B451" s="83" t="s">
        <v>84</v>
      </c>
      <c r="C451" s="215"/>
      <c r="D451" s="163">
        <f>PRODUCT(Лист1!G211,$A$216)</f>
        <v>0.26719999999999999</v>
      </c>
      <c r="E451" s="347">
        <f>Лист1!H211</f>
        <v>0</v>
      </c>
      <c r="F451" s="327">
        <f t="shared" si="15"/>
        <v>0</v>
      </c>
      <c r="G451" s="162"/>
      <c r="H451" s="7"/>
      <c r="I451" s="7"/>
      <c r="J451" s="137"/>
      <c r="K451" s="112"/>
      <c r="L451" s="138"/>
    </row>
    <row r="452" spans="1:12" ht="15.75" hidden="1" x14ac:dyDescent="0.25">
      <c r="A452" s="122">
        <f ca="1">'патриотика0,3664'!A519</f>
        <v>0</v>
      </c>
      <c r="B452" s="83" t="s">
        <v>84</v>
      </c>
      <c r="C452" s="215"/>
      <c r="D452" s="163">
        <f>PRODUCT(Лист1!G212,$A$216)</f>
        <v>0.26719999999999999</v>
      </c>
      <c r="E452" s="347">
        <f>Лист1!H212</f>
        <v>0</v>
      </c>
      <c r="F452" s="327">
        <f t="shared" si="15"/>
        <v>0</v>
      </c>
      <c r="G452" s="162"/>
      <c r="H452" s="7"/>
      <c r="I452" s="7"/>
      <c r="J452" s="137"/>
      <c r="K452" s="112"/>
      <c r="L452" s="138"/>
    </row>
    <row r="453" spans="1:12" ht="15.75" hidden="1" x14ac:dyDescent="0.25">
      <c r="A453" s="122">
        <f ca="1">'патриотика0,3664'!A520</f>
        <v>0</v>
      </c>
      <c r="B453" s="83" t="s">
        <v>84</v>
      </c>
      <c r="C453" s="215"/>
      <c r="D453" s="163">
        <f>PRODUCT(Лист1!G213,$A$216)</f>
        <v>0.26719999999999999</v>
      </c>
      <c r="E453" s="347">
        <f>Лист1!H213</f>
        <v>0</v>
      </c>
      <c r="F453" s="327">
        <f t="shared" si="15"/>
        <v>0</v>
      </c>
      <c r="G453" s="162"/>
      <c r="H453" s="7"/>
      <c r="I453" s="7"/>
      <c r="J453" s="137"/>
      <c r="K453" s="112"/>
      <c r="L453" s="138"/>
    </row>
    <row r="454" spans="1:12" ht="15.75" hidden="1" x14ac:dyDescent="0.25">
      <c r="A454" s="122">
        <f ca="1">'патриотика0,3664'!A521</f>
        <v>0</v>
      </c>
      <c r="B454" s="83" t="s">
        <v>84</v>
      </c>
      <c r="C454" s="215"/>
      <c r="D454" s="163">
        <f>PRODUCT(Лист1!G214,$A$216)</f>
        <v>0.26719999999999999</v>
      </c>
      <c r="E454" s="347">
        <f>Лист1!H214</f>
        <v>0</v>
      </c>
      <c r="F454" s="327">
        <f t="shared" si="15"/>
        <v>0</v>
      </c>
      <c r="G454" s="162"/>
      <c r="H454" s="7"/>
      <c r="I454" s="7"/>
      <c r="J454" s="137"/>
      <c r="K454" s="112"/>
      <c r="L454" s="138"/>
    </row>
    <row r="455" spans="1:12" ht="15.75" hidden="1" x14ac:dyDescent="0.25">
      <c r="A455" s="122">
        <f ca="1">'патриотика0,3664'!A522</f>
        <v>0</v>
      </c>
      <c r="B455" s="83" t="s">
        <v>84</v>
      </c>
      <c r="C455" s="215"/>
      <c r="D455" s="163">
        <f>PRODUCT(Лист1!G215,$A$216)</f>
        <v>0.26719999999999999</v>
      </c>
      <c r="E455" s="347">
        <f>Лист1!H215</f>
        <v>0</v>
      </c>
      <c r="F455" s="327">
        <f t="shared" si="15"/>
        <v>0</v>
      </c>
      <c r="G455" s="162"/>
      <c r="H455" s="7"/>
      <c r="I455" s="7"/>
      <c r="J455" s="137"/>
      <c r="K455" s="112"/>
      <c r="L455" s="138"/>
    </row>
    <row r="456" spans="1:12" ht="15.75" hidden="1" x14ac:dyDescent="0.25">
      <c r="A456" s="122">
        <f ca="1">'патриотика0,3664'!A523</f>
        <v>0</v>
      </c>
      <c r="B456" s="83" t="s">
        <v>84</v>
      </c>
      <c r="C456" s="215"/>
      <c r="D456" s="163">
        <f>PRODUCT(Лист1!G216,$A$216)</f>
        <v>0.26719999999999999</v>
      </c>
      <c r="E456" s="347">
        <f>Лист1!H216</f>
        <v>0</v>
      </c>
      <c r="F456" s="327">
        <f t="shared" si="15"/>
        <v>0</v>
      </c>
      <c r="G456" s="162"/>
      <c r="H456" s="7"/>
      <c r="I456" s="7"/>
      <c r="J456" s="137"/>
      <c r="K456" s="112"/>
      <c r="L456" s="138"/>
    </row>
    <row r="457" spans="1:12" ht="15.75" hidden="1" x14ac:dyDescent="0.25">
      <c r="A457" s="122">
        <f ca="1">'патриотика0,3664'!A524</f>
        <v>0</v>
      </c>
      <c r="B457" s="83" t="s">
        <v>84</v>
      </c>
      <c r="C457" s="215"/>
      <c r="D457" s="163">
        <f>PRODUCT(Лист1!G217,$A$216)</f>
        <v>0.26719999999999999</v>
      </c>
      <c r="E457" s="347">
        <f>Лист1!H217</f>
        <v>0</v>
      </c>
      <c r="F457" s="327">
        <f t="shared" si="15"/>
        <v>0</v>
      </c>
      <c r="G457" s="162"/>
      <c r="H457" s="7"/>
      <c r="I457" s="7"/>
      <c r="J457" s="137"/>
      <c r="K457" s="112"/>
      <c r="L457" s="138"/>
    </row>
    <row r="458" spans="1:12" ht="15.75" hidden="1" x14ac:dyDescent="0.25">
      <c r="A458" s="122">
        <f ca="1">'патриотика0,3664'!A525</f>
        <v>0</v>
      </c>
      <c r="B458" s="83" t="s">
        <v>84</v>
      </c>
      <c r="C458" s="215"/>
      <c r="D458" s="163">
        <f>PRODUCT(Лист1!G218,$A$216)</f>
        <v>0.26719999999999999</v>
      </c>
      <c r="E458" s="347">
        <f>Лист1!H218</f>
        <v>0</v>
      </c>
      <c r="F458" s="327">
        <f t="shared" si="15"/>
        <v>0</v>
      </c>
      <c r="G458" s="162"/>
      <c r="H458" s="7"/>
      <c r="I458" s="7"/>
      <c r="J458" s="137"/>
      <c r="K458" s="112"/>
      <c r="L458" s="138"/>
    </row>
    <row r="459" spans="1:12" ht="15.75" hidden="1" x14ac:dyDescent="0.25">
      <c r="A459" s="122">
        <f ca="1">'патриотика0,3664'!A526</f>
        <v>0</v>
      </c>
      <c r="B459" s="83" t="s">
        <v>84</v>
      </c>
      <c r="C459" s="215"/>
      <c r="D459" s="163">
        <f>PRODUCT(Лист1!G219,$A$216)</f>
        <v>0.26719999999999999</v>
      </c>
      <c r="E459" s="347">
        <f>Лист1!H219</f>
        <v>0</v>
      </c>
      <c r="F459" s="327">
        <f t="shared" si="15"/>
        <v>0</v>
      </c>
      <c r="G459" s="162"/>
      <c r="H459" s="7"/>
      <c r="I459" s="7"/>
      <c r="J459" s="137"/>
      <c r="K459" s="112"/>
      <c r="L459" s="138"/>
    </row>
    <row r="460" spans="1:12" ht="15.75" hidden="1" x14ac:dyDescent="0.25">
      <c r="A460" s="122">
        <f ca="1">'патриотика0,3664'!A527</f>
        <v>0</v>
      </c>
      <c r="B460" s="83" t="s">
        <v>84</v>
      </c>
      <c r="C460" s="215"/>
      <c r="D460" s="163">
        <f>PRODUCT(Лист1!G220,$A$216)</f>
        <v>0.26719999999999999</v>
      </c>
      <c r="E460" s="347">
        <f>Лист1!H220</f>
        <v>0</v>
      </c>
      <c r="F460" s="327">
        <f t="shared" si="15"/>
        <v>0</v>
      </c>
      <c r="G460" s="162"/>
      <c r="H460" s="7"/>
      <c r="I460" s="7"/>
      <c r="J460" s="137"/>
      <c r="K460" s="112"/>
      <c r="L460" s="138"/>
    </row>
    <row r="461" spans="1:12" ht="15.75" hidden="1" x14ac:dyDescent="0.25">
      <c r="A461" s="122">
        <f ca="1">'патриотика0,3664'!A528</f>
        <v>0</v>
      </c>
      <c r="B461" s="83" t="s">
        <v>84</v>
      </c>
      <c r="C461" s="215"/>
      <c r="D461" s="163">
        <f>PRODUCT(Лист1!G221,$A$216)</f>
        <v>0.26719999999999999</v>
      </c>
      <c r="E461" s="347">
        <f>Лист1!H221</f>
        <v>0</v>
      </c>
      <c r="F461" s="327">
        <f t="shared" si="15"/>
        <v>0</v>
      </c>
      <c r="G461" s="162"/>
      <c r="H461" s="7"/>
      <c r="I461" s="7"/>
      <c r="J461" s="137"/>
      <c r="K461" s="112"/>
      <c r="L461" s="138"/>
    </row>
    <row r="462" spans="1:12" ht="15.75" hidden="1" x14ac:dyDescent="0.25">
      <c r="A462" s="122">
        <f ca="1">'патриотика0,3664'!A529</f>
        <v>0</v>
      </c>
      <c r="B462" s="83" t="s">
        <v>84</v>
      </c>
      <c r="C462" s="215"/>
      <c r="D462" s="163">
        <f>PRODUCT(Лист1!G222,$A$216)</f>
        <v>0.26719999999999999</v>
      </c>
      <c r="E462" s="347">
        <f>Лист1!H222</f>
        <v>0</v>
      </c>
      <c r="F462" s="327">
        <f t="shared" si="15"/>
        <v>0</v>
      </c>
      <c r="G462" s="162"/>
      <c r="H462" s="7"/>
      <c r="I462" s="7"/>
      <c r="J462" s="137"/>
      <c r="K462" s="112"/>
      <c r="L462" s="138"/>
    </row>
    <row r="463" spans="1:12" ht="15.75" hidden="1" x14ac:dyDescent="0.25">
      <c r="A463" s="122">
        <f ca="1">'патриотика0,3664'!A530</f>
        <v>0</v>
      </c>
      <c r="B463" s="83" t="s">
        <v>84</v>
      </c>
      <c r="C463" s="215"/>
      <c r="D463" s="163">
        <f>PRODUCT(Лист1!G223,$A$216)</f>
        <v>0.26719999999999999</v>
      </c>
      <c r="E463" s="347">
        <f>Лист1!H223</f>
        <v>0</v>
      </c>
      <c r="F463" s="327">
        <f t="shared" si="15"/>
        <v>0</v>
      </c>
      <c r="G463" s="162"/>
      <c r="H463" s="7"/>
      <c r="I463" s="7"/>
      <c r="J463" s="137"/>
      <c r="K463" s="112"/>
      <c r="L463" s="138"/>
    </row>
    <row r="464" spans="1:12" ht="15.75" hidden="1" x14ac:dyDescent="0.25">
      <c r="A464" s="122">
        <f ca="1">'патриотика0,3664'!A531</f>
        <v>0</v>
      </c>
      <c r="B464" s="83" t="s">
        <v>84</v>
      </c>
      <c r="C464" s="215"/>
      <c r="D464" s="163">
        <f>PRODUCT(Лист1!G224,$A$216)</f>
        <v>0.26719999999999999</v>
      </c>
      <c r="E464" s="347">
        <f>Лист1!H224</f>
        <v>0</v>
      </c>
      <c r="F464" s="327">
        <f t="shared" si="15"/>
        <v>0</v>
      </c>
      <c r="G464" s="162"/>
      <c r="H464" s="7"/>
      <c r="I464" s="7"/>
      <c r="J464" s="137"/>
      <c r="K464" s="112"/>
      <c r="L464" s="138"/>
    </row>
    <row r="465" spans="1:12" ht="15.75" hidden="1" x14ac:dyDescent="0.25">
      <c r="A465" s="122">
        <f ca="1">'патриотика0,3664'!A532</f>
        <v>0</v>
      </c>
      <c r="B465" s="83" t="s">
        <v>84</v>
      </c>
      <c r="C465" s="215"/>
      <c r="D465" s="163">
        <f>PRODUCT(Лист1!G225,$A$216)</f>
        <v>0.26719999999999999</v>
      </c>
      <c r="E465" s="347">
        <f>Лист1!H225</f>
        <v>0</v>
      </c>
      <c r="F465" s="327">
        <f t="shared" si="15"/>
        <v>0</v>
      </c>
      <c r="G465" s="162"/>
      <c r="H465" s="7"/>
      <c r="I465" s="7"/>
      <c r="J465" s="137"/>
      <c r="K465" s="112"/>
      <c r="L465" s="138"/>
    </row>
    <row r="466" spans="1:12" ht="15.75" hidden="1" x14ac:dyDescent="0.25">
      <c r="A466" s="122">
        <f ca="1">'патриотика0,3664'!A533</f>
        <v>0</v>
      </c>
      <c r="B466" s="83" t="s">
        <v>84</v>
      </c>
      <c r="C466" s="215"/>
      <c r="D466" s="163">
        <f>PRODUCT(Лист1!G226,$A$216)</f>
        <v>0.26719999999999999</v>
      </c>
      <c r="E466" s="347">
        <f>Лист1!H226</f>
        <v>0</v>
      </c>
      <c r="F466" s="327">
        <f t="shared" si="15"/>
        <v>0</v>
      </c>
      <c r="G466" s="162"/>
      <c r="H466" s="7"/>
      <c r="I466" s="7"/>
      <c r="J466" s="137"/>
      <c r="K466" s="112"/>
      <c r="L466" s="138"/>
    </row>
    <row r="467" spans="1:12" ht="18.75" x14ac:dyDescent="0.25">
      <c r="A467" s="796" t="s">
        <v>31</v>
      </c>
      <c r="B467" s="829"/>
      <c r="C467" s="829"/>
      <c r="D467" s="829"/>
      <c r="E467" s="797"/>
      <c r="F467" s="283">
        <f>SUM(F220:F466)</f>
        <v>167450.23398399999</v>
      </c>
      <c r="G467" s="162"/>
      <c r="H467" s="7"/>
      <c r="I467" s="7"/>
    </row>
    <row r="468" spans="1:12" ht="15.75" x14ac:dyDescent="0.25">
      <c r="A468" s="7"/>
      <c r="B468" s="7"/>
      <c r="C468" s="7"/>
      <c r="D468" s="7"/>
      <c r="E468" s="162"/>
      <c r="F468" s="7"/>
      <c r="G468" s="162"/>
      <c r="H468" s="7"/>
      <c r="I468" s="7"/>
    </row>
    <row r="469" spans="1:12" ht="15.75" x14ac:dyDescent="0.25">
      <c r="A469" s="7"/>
      <c r="B469" s="7"/>
      <c r="C469" s="7"/>
      <c r="D469" s="7"/>
      <c r="E469" s="7"/>
      <c r="F469" s="7"/>
    </row>
  </sheetData>
  <autoFilter ref="A218:I382" xr:uid="{00000000-0009-0000-0000-000007000000}"/>
  <mergeCells count="153">
    <mergeCell ref="A1:I1"/>
    <mergeCell ref="E108:E109"/>
    <mergeCell ref="F108:F109"/>
    <mergeCell ref="E45:E46"/>
    <mergeCell ref="F45:F46"/>
    <mergeCell ref="B3:I3"/>
    <mergeCell ref="G19:G21"/>
    <mergeCell ref="I19:I21"/>
    <mergeCell ref="A22:A23"/>
    <mergeCell ref="B22:B23"/>
    <mergeCell ref="D22:D23"/>
    <mergeCell ref="E22:E23"/>
    <mergeCell ref="F22:F23"/>
    <mergeCell ref="G22:G23"/>
    <mergeCell ref="I22:I23"/>
    <mergeCell ref="A19:A21"/>
    <mergeCell ref="B19:B21"/>
    <mergeCell ref="D19:D21"/>
    <mergeCell ref="E19:F19"/>
    <mergeCell ref="F20:F21"/>
    <mergeCell ref="A47:B47"/>
    <mergeCell ref="C55:C56"/>
    <mergeCell ref="D55:D56"/>
    <mergeCell ref="E55:E56"/>
    <mergeCell ref="A467:E467"/>
    <mergeCell ref="A178:F178"/>
    <mergeCell ref="A214:E214"/>
    <mergeCell ref="A215:F215"/>
    <mergeCell ref="A216:F216"/>
    <mergeCell ref="A217:A218"/>
    <mergeCell ref="B217:B218"/>
    <mergeCell ref="D217:D218"/>
    <mergeCell ref="E217:E218"/>
    <mergeCell ref="F217:F218"/>
    <mergeCell ref="G181:G182"/>
    <mergeCell ref="A186:F186"/>
    <mergeCell ref="A187:F187"/>
    <mergeCell ref="A189:A190"/>
    <mergeCell ref="B189:B190"/>
    <mergeCell ref="D189:D190"/>
    <mergeCell ref="F170:F171"/>
    <mergeCell ref="A152:E152"/>
    <mergeCell ref="E189:E190"/>
    <mergeCell ref="F189:F190"/>
    <mergeCell ref="A181:A182"/>
    <mergeCell ref="B181:B182"/>
    <mergeCell ref="D181:D182"/>
    <mergeCell ref="E181:E182"/>
    <mergeCell ref="F181:F182"/>
    <mergeCell ref="A165:B165"/>
    <mergeCell ref="A166:B166"/>
    <mergeCell ref="A167:B167"/>
    <mergeCell ref="A179:F179"/>
    <mergeCell ref="G170:G171"/>
    <mergeCell ref="A161:B162"/>
    <mergeCell ref="D161:D162"/>
    <mergeCell ref="G161:G162"/>
    <mergeCell ref="A163:B163"/>
    <mergeCell ref="E143:E144"/>
    <mergeCell ref="F143:F144"/>
    <mergeCell ref="A168:F168"/>
    <mergeCell ref="A170:A171"/>
    <mergeCell ref="B170:B171"/>
    <mergeCell ref="D170:D171"/>
    <mergeCell ref="E170:E171"/>
    <mergeCell ref="A158:F158"/>
    <mergeCell ref="E161:E162"/>
    <mergeCell ref="F161:F162"/>
    <mergeCell ref="A112:B112"/>
    <mergeCell ref="A114:B114"/>
    <mergeCell ref="A113:B113"/>
    <mergeCell ref="A48:B48"/>
    <mergeCell ref="A110:B110"/>
    <mergeCell ref="A111:B111"/>
    <mergeCell ref="A164:B164"/>
    <mergeCell ref="A143:A144"/>
    <mergeCell ref="B143:B144"/>
    <mergeCell ref="B134:C134"/>
    <mergeCell ref="A130:H130"/>
    <mergeCell ref="A131:A133"/>
    <mergeCell ref="B131:C133"/>
    <mergeCell ref="D132:D133"/>
    <mergeCell ref="E132:E133"/>
    <mergeCell ref="F132:F133"/>
    <mergeCell ref="A106:F106"/>
    <mergeCell ref="A108:B109"/>
    <mergeCell ref="D108:D109"/>
    <mergeCell ref="A49:B49"/>
    <mergeCell ref="A50:B50"/>
    <mergeCell ref="A52:B52"/>
    <mergeCell ref="A53:F53"/>
    <mergeCell ref="D143:D144"/>
    <mergeCell ref="G108:G109"/>
    <mergeCell ref="H108:H109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  <mergeCell ref="F55:F56"/>
    <mergeCell ref="A35:H35"/>
    <mergeCell ref="A36:A38"/>
    <mergeCell ref="B36:C38"/>
    <mergeCell ref="D36:E36"/>
    <mergeCell ref="D37:D38"/>
    <mergeCell ref="E37:E38"/>
    <mergeCell ref="F37:F38"/>
    <mergeCell ref="B39:C39"/>
    <mergeCell ref="B40:C40"/>
    <mergeCell ref="B41:C41"/>
    <mergeCell ref="B31:C31"/>
    <mergeCell ref="B33:C33"/>
    <mergeCell ref="A4:E4"/>
    <mergeCell ref="A5:E5"/>
    <mergeCell ref="A6:E6"/>
    <mergeCell ref="A7:E7"/>
    <mergeCell ref="A15:F15"/>
    <mergeCell ref="A17:F17"/>
    <mergeCell ref="D8:E8"/>
    <mergeCell ref="D9:E9"/>
    <mergeCell ref="D10:E10"/>
    <mergeCell ref="D11:E11"/>
    <mergeCell ref="D12:E12"/>
    <mergeCell ref="D13:E13"/>
    <mergeCell ref="A14:I14"/>
    <mergeCell ref="A18:B18"/>
    <mergeCell ref="B55:B56"/>
    <mergeCell ref="B34:C34"/>
    <mergeCell ref="A115:F115"/>
    <mergeCell ref="G45:G46"/>
    <mergeCell ref="A141:F141"/>
    <mergeCell ref="I118:I120"/>
    <mergeCell ref="A121:A122"/>
    <mergeCell ref="B121:B122"/>
    <mergeCell ref="D121:D122"/>
    <mergeCell ref="E121:E122"/>
    <mergeCell ref="F121:F122"/>
    <mergeCell ref="G121:G122"/>
    <mergeCell ref="I121:I122"/>
    <mergeCell ref="A127:F127"/>
    <mergeCell ref="D131:F131"/>
    <mergeCell ref="A42:F42"/>
    <mergeCell ref="A45:B46"/>
    <mergeCell ref="D45:D46"/>
    <mergeCell ref="A116:H116"/>
    <mergeCell ref="B118:B120"/>
    <mergeCell ref="D118:D120"/>
    <mergeCell ref="E118:F118"/>
    <mergeCell ref="G118:G120"/>
  </mergeCells>
  <printOptions horizontalCentered="1" verticalCentered="1"/>
  <pageMargins left="0.70866141732283472" right="0.31496062992125984" top="0.55118110236220474" bottom="0.55118110236220474" header="0" footer="0"/>
  <pageSetup paperSize="9" scale="44" fitToHeight="4" orientation="portrait" r:id="rId1"/>
  <rowBreaks count="3" manualBreakCount="3">
    <brk id="105" max="9" man="1"/>
    <brk id="178" max="8" man="1"/>
    <brk id="283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2"/>
  <sheetViews>
    <sheetView workbookViewId="0">
      <selection sqref="A1:XFD1048576"/>
    </sheetView>
  </sheetViews>
  <sheetFormatPr defaultRowHeight="15" x14ac:dyDescent="0.25"/>
  <cols>
    <col min="1" max="1" width="27.75" customWidth="1"/>
    <col min="2" max="2" width="10.75" customWidth="1"/>
    <col min="3" max="3" width="15.75" customWidth="1"/>
    <col min="4" max="4" width="16.375" customWidth="1"/>
    <col min="5" max="5" width="18.625" customWidth="1"/>
    <col min="6" max="6" width="18.75" customWidth="1"/>
    <col min="7" max="7" width="17" customWidth="1"/>
    <col min="8" max="8" width="16.375" customWidth="1"/>
    <col min="9" max="9" width="12.875" customWidth="1"/>
  </cols>
  <sheetData>
    <row r="1" spans="1:9" ht="15.75" x14ac:dyDescent="0.25">
      <c r="A1" s="870" t="s">
        <v>71</v>
      </c>
      <c r="B1" s="870"/>
      <c r="C1" s="870"/>
      <c r="D1" s="870"/>
      <c r="E1" s="870"/>
      <c r="F1" s="870"/>
      <c r="G1" s="27"/>
      <c r="H1" s="27"/>
    </row>
    <row r="2" spans="1:9" ht="15.75" x14ac:dyDescent="0.25">
      <c r="A2" s="13"/>
      <c r="B2" s="13"/>
      <c r="C2" s="13"/>
      <c r="D2" s="13"/>
      <c r="E2" s="13"/>
      <c r="F2" s="13"/>
      <c r="G2" s="13"/>
      <c r="H2" s="13"/>
    </row>
    <row r="3" spans="1:9" ht="47.25" x14ac:dyDescent="0.25">
      <c r="A3" s="14" t="s">
        <v>60</v>
      </c>
      <c r="B3" s="15" t="s">
        <v>2</v>
      </c>
      <c r="C3" s="15" t="s">
        <v>61</v>
      </c>
      <c r="D3" s="15" t="s">
        <v>62</v>
      </c>
      <c r="E3" s="14" t="s">
        <v>63</v>
      </c>
      <c r="F3" s="15" t="s">
        <v>64</v>
      </c>
      <c r="G3" s="14" t="s">
        <v>65</v>
      </c>
      <c r="H3" s="14" t="s">
        <v>66</v>
      </c>
      <c r="I3" s="26" t="s">
        <v>67</v>
      </c>
    </row>
    <row r="4" spans="1:9" ht="15.75" x14ac:dyDescent="0.25">
      <c r="A4" s="16" t="s">
        <v>72</v>
      </c>
      <c r="B4" s="17"/>
      <c r="C4" s="18"/>
      <c r="D4" s="18"/>
      <c r="E4" s="19"/>
      <c r="F4" s="20"/>
      <c r="G4" s="19"/>
      <c r="H4" s="19"/>
    </row>
    <row r="5" spans="1:9" ht="15.75" x14ac:dyDescent="0.25">
      <c r="A5" s="12" t="str">
        <f>[2]Лист1!D15</f>
        <v>Заведуюший</v>
      </c>
      <c r="B5" s="21">
        <f>[2]Лист1!E15</f>
        <v>1</v>
      </c>
      <c r="C5" s="22">
        <f>[2]Лист1!AD15</f>
        <v>86169</v>
      </c>
      <c r="D5" s="22">
        <f>B5*C5</f>
        <v>86169</v>
      </c>
      <c r="E5" s="23">
        <f>D5*2*0.2</f>
        <v>34467.599999999999</v>
      </c>
      <c r="F5" s="24">
        <f>E5+C5*12</f>
        <v>1068495.6000000001</v>
      </c>
      <c r="G5" s="23">
        <f>F5*30.2%</f>
        <v>322685.67120000004</v>
      </c>
      <c r="H5" s="23">
        <f>F5+G5</f>
        <v>1391181.2712000001</v>
      </c>
      <c r="I5" s="25">
        <f>F5/12/B5</f>
        <v>89041.3</v>
      </c>
    </row>
    <row r="6" spans="1:9" ht="15.75" x14ac:dyDescent="0.25">
      <c r="A6" s="12" t="str">
        <f>[2]Лист1!D16</f>
        <v>Ведущий специалист по работе с молодежью</v>
      </c>
      <c r="B6" s="21">
        <f>[2]Лист1!E16</f>
        <v>1</v>
      </c>
      <c r="C6" s="22">
        <f>[2]Лист1!AD16</f>
        <v>36443</v>
      </c>
      <c r="D6" s="22">
        <f t="shared" ref="D6:D11" si="0">B6*C6</f>
        <v>36443</v>
      </c>
      <c r="E6" s="23">
        <f t="shared" ref="E6" si="1">D6*2*0.2</f>
        <v>14577.2</v>
      </c>
      <c r="F6" s="24">
        <f>E6+C6*12</f>
        <v>451893.2</v>
      </c>
      <c r="G6" s="23">
        <f t="shared" ref="G6:G11" si="2">F6*30.2%</f>
        <v>136471.7464</v>
      </c>
      <c r="H6" s="23">
        <f t="shared" ref="H6:H11" si="3">F6+G6</f>
        <v>588364.94640000002</v>
      </c>
      <c r="I6" s="25">
        <f t="shared" ref="I6:I10" si="4">F6/12/B6</f>
        <v>37657.76666666667</v>
      </c>
    </row>
    <row r="7" spans="1:9" ht="15.75" x14ac:dyDescent="0.25">
      <c r="A7" s="12" t="str">
        <f>[2]Лист1!D17</f>
        <v>Специалист по работе с молодежью, 1 кв. уровень</v>
      </c>
      <c r="B7" s="21">
        <f>[2]Лист1!E17</f>
        <v>4.5999999999999996</v>
      </c>
      <c r="C7" s="22">
        <f>[2]Лист1!AD17</f>
        <v>32495</v>
      </c>
      <c r="D7" s="22">
        <f t="shared" si="0"/>
        <v>149477</v>
      </c>
      <c r="E7" s="23">
        <f>D7*1.5*0.2</f>
        <v>44843.100000000006</v>
      </c>
      <c r="F7" s="24">
        <f>E7+D7*12</f>
        <v>1838567.1</v>
      </c>
      <c r="G7" s="23">
        <f t="shared" si="2"/>
        <v>555247.26419999998</v>
      </c>
      <c r="H7" s="23">
        <f t="shared" si="3"/>
        <v>2393814.3642000002</v>
      </c>
      <c r="I7" s="25">
        <f t="shared" si="4"/>
        <v>33307.375000000007</v>
      </c>
    </row>
    <row r="8" spans="1:9" ht="15.75" x14ac:dyDescent="0.25">
      <c r="A8" s="12" t="str">
        <f>[2]Лист1!D18</f>
        <v>Водитель автомобиля, 1 кв. уровень</v>
      </c>
      <c r="B8" s="21">
        <f>[2]Лист1!E18</f>
        <v>1</v>
      </c>
      <c r="C8" s="22">
        <f>[2]Лист1!AD18</f>
        <v>23375</v>
      </c>
      <c r="D8" s="22">
        <f t="shared" si="0"/>
        <v>23375</v>
      </c>
      <c r="E8" s="23">
        <f>D8*1.5</f>
        <v>35062.5</v>
      </c>
      <c r="F8" s="24">
        <f t="shared" ref="F8:F10" si="5">E8+C8*12</f>
        <v>315562.5</v>
      </c>
      <c r="G8" s="23">
        <f t="shared" si="2"/>
        <v>95299.875</v>
      </c>
      <c r="H8" s="23">
        <f t="shared" si="3"/>
        <v>410862.375</v>
      </c>
      <c r="I8" s="25">
        <f t="shared" si="4"/>
        <v>26296.875</v>
      </c>
    </row>
    <row r="9" spans="1:9" ht="15.75" x14ac:dyDescent="0.25">
      <c r="A9" s="12" t="str">
        <f>[2]Лист1!D19</f>
        <v>Рабочий по комплексному обслуживанию здания</v>
      </c>
      <c r="B9" s="21">
        <f>[2]Лист1!E19</f>
        <v>0.5</v>
      </c>
      <c r="C9" s="22">
        <f>[2]Лист1!AD19</f>
        <v>20711</v>
      </c>
      <c r="D9" s="22">
        <f t="shared" si="0"/>
        <v>10355.5</v>
      </c>
      <c r="E9" s="23">
        <f>D9*1.5</f>
        <v>15533.25</v>
      </c>
      <c r="F9" s="24">
        <f t="shared" si="5"/>
        <v>264065.25</v>
      </c>
      <c r="G9" s="23">
        <f t="shared" si="2"/>
        <v>79747.705499999996</v>
      </c>
      <c r="H9" s="23">
        <f t="shared" si="3"/>
        <v>343812.95549999998</v>
      </c>
      <c r="I9" s="25">
        <f>F9/12*B9</f>
        <v>11002.71875</v>
      </c>
    </row>
    <row r="10" spans="1:9" ht="15.75" x14ac:dyDescent="0.25">
      <c r="A10" s="12" t="str">
        <f>[2]Лист1!D20</f>
        <v>Уборщик служебных помещений, 1 кв. уровень</v>
      </c>
      <c r="B10" s="21">
        <f>[2]Лист1!E20</f>
        <v>1</v>
      </c>
      <c r="C10" s="22">
        <f>[2]Лист1!AD20</f>
        <v>17458</v>
      </c>
      <c r="D10" s="22">
        <f t="shared" si="0"/>
        <v>17458</v>
      </c>
      <c r="E10" s="23">
        <f>D10*1.5</f>
        <v>26187</v>
      </c>
      <c r="F10" s="24">
        <f t="shared" si="5"/>
        <v>235683</v>
      </c>
      <c r="G10" s="23">
        <f t="shared" si="2"/>
        <v>71176.266000000003</v>
      </c>
      <c r="H10" s="23">
        <f t="shared" si="3"/>
        <v>306859.266</v>
      </c>
      <c r="I10" s="25">
        <f t="shared" si="4"/>
        <v>19640.25</v>
      </c>
    </row>
    <row r="11" spans="1:9" ht="15.75" x14ac:dyDescent="0.25">
      <c r="A11" s="12" t="str">
        <f>[2]Лист1!D21</f>
        <v xml:space="preserve">Сторож, 1 кв. уровень </v>
      </c>
      <c r="B11" s="21">
        <f>[2]Лист1!E21</f>
        <v>3</v>
      </c>
      <c r="C11" s="22">
        <f>[2]Лист1!AD21</f>
        <v>19510</v>
      </c>
      <c r="D11" s="22">
        <f t="shared" si="0"/>
        <v>58530</v>
      </c>
      <c r="E11" s="23">
        <f>D11*1.5</f>
        <v>87795</v>
      </c>
      <c r="F11" s="24">
        <f>E11+D11*12</f>
        <v>790155</v>
      </c>
      <c r="G11" s="23">
        <f t="shared" si="2"/>
        <v>238626.81</v>
      </c>
      <c r="H11" s="23">
        <f t="shared" si="3"/>
        <v>1028781.81</v>
      </c>
      <c r="I11" s="25">
        <f>F11/12/B11</f>
        <v>21948.75</v>
      </c>
    </row>
    <row r="12" spans="1:9" ht="15.75" x14ac:dyDescent="0.25">
      <c r="A12" s="12">
        <f>[2]Лист1!D22</f>
        <v>19510</v>
      </c>
      <c r="B12" s="29">
        <f>[2]Лист1!E22</f>
        <v>12.1</v>
      </c>
      <c r="C12" s="30">
        <f>[2]Лист1!AD22</f>
        <v>236161</v>
      </c>
      <c r="D12" s="31">
        <f>SUM(D5:D11)</f>
        <v>381807.5</v>
      </c>
      <c r="E12" s="32">
        <f>SUM(E5:E11)</f>
        <v>258465.65000000002</v>
      </c>
      <c r="F12" s="33">
        <f>SUM(F5:F11)</f>
        <v>4964421.6500000004</v>
      </c>
      <c r="G12" s="34">
        <f>SUM(G5:G11)</f>
        <v>1499255.3382999999</v>
      </c>
      <c r="H12" s="34">
        <f>SUM(H5:H11)</f>
        <v>6463676.9883000012</v>
      </c>
      <c r="I12" s="25">
        <f t="shared" ref="I12" si="6">F12/12</f>
        <v>413701.8041666667</v>
      </c>
    </row>
    <row r="13" spans="1:9" x14ac:dyDescent="0.25">
      <c r="B13" s="25"/>
      <c r="C13" s="25"/>
      <c r="E13" s="25"/>
      <c r="F13" s="25"/>
      <c r="G13" s="25"/>
      <c r="H13" s="25"/>
    </row>
    <row r="14" spans="1:9" x14ac:dyDescent="0.25">
      <c r="F14" s="35">
        <v>4211572.09</v>
      </c>
    </row>
    <row r="15" spans="1:9" x14ac:dyDescent="0.25">
      <c r="C15">
        <f>54798.42/3</f>
        <v>18266.14</v>
      </c>
      <c r="D15" s="25">
        <f>SUM(D5:D12)</f>
        <v>763615</v>
      </c>
    </row>
    <row r="17" spans="1:9" x14ac:dyDescent="0.25">
      <c r="H17">
        <v>5210090.78</v>
      </c>
      <c r="I17" t="s">
        <v>73</v>
      </c>
    </row>
    <row r="18" spans="1:9" x14ac:dyDescent="0.25">
      <c r="B18">
        <v>131569.758</v>
      </c>
      <c r="E18" t="s">
        <v>74</v>
      </c>
      <c r="F18" s="1">
        <v>63000</v>
      </c>
      <c r="H18">
        <v>277896</v>
      </c>
      <c r="I18" s="36" t="s">
        <v>75</v>
      </c>
    </row>
    <row r="19" spans="1:9" x14ac:dyDescent="0.25">
      <c r="E19" t="s">
        <v>76</v>
      </c>
      <c r="F19" s="1">
        <v>86158</v>
      </c>
      <c r="I19" t="s">
        <v>77</v>
      </c>
    </row>
    <row r="20" spans="1:9" x14ac:dyDescent="0.25">
      <c r="E20" t="s">
        <v>78</v>
      </c>
      <c r="F20" s="1">
        <f>F19-F18</f>
        <v>23158</v>
      </c>
      <c r="H20" s="28">
        <f>H17+H18+H19</f>
        <v>5487986.7800000003</v>
      </c>
      <c r="I20" t="s">
        <v>57</v>
      </c>
    </row>
    <row r="21" spans="1:9" x14ac:dyDescent="0.25">
      <c r="E21" t="s">
        <v>79</v>
      </c>
      <c r="F21" s="1">
        <f>F20*12</f>
        <v>277896</v>
      </c>
    </row>
    <row r="22" spans="1:9" x14ac:dyDescent="0.25">
      <c r="A22" s="37" t="e">
        <f t="shared" ref="A22" si="7">INT(#REF!/#REF!)</f>
        <v>#REF!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затраты</vt:lpstr>
      <vt:lpstr>натур показатели инновации+добр</vt:lpstr>
      <vt:lpstr>инновации+добровольчество0,3664</vt:lpstr>
      <vt:lpstr>Лист1</vt:lpstr>
      <vt:lpstr>натур показатели патриотика</vt:lpstr>
      <vt:lpstr>патриотика0,3664</vt:lpstr>
      <vt:lpstr>натур показатели таланты+инициа</vt:lpstr>
      <vt:lpstr>таланты+инициативы0,2672</vt:lpstr>
      <vt:lpstr>Лист3</vt:lpstr>
      <vt:lpstr>затраты!Область_печати</vt:lpstr>
      <vt:lpstr>'инновации+добровольчество0,3664'!Область_печати</vt:lpstr>
      <vt:lpstr>'патриотика0,3664'!Область_печати</vt:lpstr>
      <vt:lpstr>'таланты+инициативы0,2672'!Область_печати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2022-10-28T10:21:16Z</dcterms:modified>
</cp:coreProperties>
</file>